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60" windowWidth="13260" windowHeight="5880" activeTab="1"/>
  </bookViews>
  <sheets>
    <sheet name="Ф-25" sheetId="14" r:id="rId1"/>
    <sheet name="25-город" sheetId="13" r:id="rId2"/>
    <sheet name="В-25" sheetId="12" r:id="rId3"/>
    <sheet name="Лист1" sheetId="15" r:id="rId4"/>
  </sheets>
  <externalReferences>
    <externalReference r:id="rId5"/>
    <externalReference r:id="rId6"/>
  </externalReferences>
  <definedNames>
    <definedName name="_xlnm.Print_Area" localSheetId="1">'25-город'!$A$1:$D$1024</definedName>
  </definedNames>
  <calcPr calcId="145621"/>
</workbook>
</file>

<file path=xl/calcChain.xml><?xml version="1.0" encoding="utf-8"?>
<calcChain xmlns="http://schemas.openxmlformats.org/spreadsheetml/2006/main">
  <c r="D285" i="13" l="1"/>
  <c r="D277" i="13"/>
  <c r="D278" i="13"/>
  <c r="G1286" i="12"/>
  <c r="G1576" i="12"/>
  <c r="D366" i="13" s="1"/>
  <c r="D365" i="13" s="1"/>
  <c r="G995" i="12"/>
  <c r="G994" i="12" s="1"/>
  <c r="G993" i="12" s="1"/>
  <c r="D345" i="13" l="1"/>
  <c r="D344" i="13" s="1"/>
  <c r="G1575" i="12"/>
  <c r="DO392" i="12"/>
  <c r="G397" i="12"/>
  <c r="G1122" i="12" l="1"/>
  <c r="DN1114" i="12"/>
  <c r="G131" i="12" l="1"/>
  <c r="DN130" i="12"/>
  <c r="G133" i="12" l="1"/>
  <c r="DN150" i="12"/>
  <c r="G151" i="12"/>
  <c r="DN147" i="12"/>
  <c r="G148" i="12"/>
  <c r="DN171" i="12"/>
  <c r="G172" i="12"/>
  <c r="DN172" i="12"/>
  <c r="DN136" i="12"/>
  <c r="G137" i="12"/>
  <c r="G372" i="12"/>
  <c r="DN369" i="12"/>
  <c r="DN141" i="12"/>
  <c r="G142" i="12"/>
  <c r="DN153" i="12"/>
  <c r="DN154" i="12"/>
  <c r="G154" i="12" s="1"/>
  <c r="G956" i="12" l="1"/>
  <c r="G955" i="12" s="1"/>
  <c r="D569" i="13" s="1"/>
  <c r="DS45" i="12"/>
  <c r="G910" i="12"/>
  <c r="DS89" i="12"/>
  <c r="DS1000" i="12"/>
  <c r="DS667" i="12"/>
  <c r="DO44" i="12" l="1"/>
  <c r="DO49" i="12"/>
  <c r="G967" i="12" l="1"/>
  <c r="DT10" i="12" l="1"/>
  <c r="DT11" i="12"/>
  <c r="DT12" i="12"/>
  <c r="DT13" i="12"/>
  <c r="DT14" i="12"/>
  <c r="DT15" i="12"/>
  <c r="DT16" i="12"/>
  <c r="DT17" i="12"/>
  <c r="DT18" i="12"/>
  <c r="DT19" i="12"/>
  <c r="DT20" i="12"/>
  <c r="DT21" i="12"/>
  <c r="DT22" i="12"/>
  <c r="DT23" i="12"/>
  <c r="DT24" i="12"/>
  <c r="DT25" i="12"/>
  <c r="DT26" i="12"/>
  <c r="DT27" i="12"/>
  <c r="DT28" i="12"/>
  <c r="DT29" i="12"/>
  <c r="DT30" i="12"/>
  <c r="DT31" i="12"/>
  <c r="DT32" i="12"/>
  <c r="G32" i="12" s="1"/>
  <c r="DT33" i="12"/>
  <c r="G33" i="12" s="1"/>
  <c r="DT34" i="12"/>
  <c r="DT35" i="12"/>
  <c r="DT36" i="12"/>
  <c r="DT37" i="12"/>
  <c r="DT38" i="12"/>
  <c r="DT39" i="12"/>
  <c r="DT40" i="12"/>
  <c r="DT41" i="12"/>
  <c r="DT42" i="12"/>
  <c r="DT43" i="12"/>
  <c r="DT44" i="12"/>
  <c r="G44" i="12" s="1"/>
  <c r="DT46" i="12"/>
  <c r="DT47" i="12"/>
  <c r="DT48" i="12"/>
  <c r="DT49" i="12"/>
  <c r="G49" i="12" s="1"/>
  <c r="DT50" i="12"/>
  <c r="G50" i="12" s="1"/>
  <c r="DT51" i="12"/>
  <c r="DT52" i="12"/>
  <c r="DT53" i="12"/>
  <c r="DT54" i="12"/>
  <c r="DT55" i="12"/>
  <c r="DT56" i="12"/>
  <c r="DT57" i="12"/>
  <c r="DT58" i="12"/>
  <c r="DT59" i="12"/>
  <c r="DT60" i="12"/>
  <c r="G60" i="12" s="1"/>
  <c r="DT61" i="12"/>
  <c r="DT62" i="12"/>
  <c r="DT63" i="12"/>
  <c r="DT64" i="12"/>
  <c r="DT65" i="12"/>
  <c r="DT66" i="12"/>
  <c r="DT67" i="12"/>
  <c r="DT68" i="12"/>
  <c r="DT69" i="12"/>
  <c r="DT71" i="12"/>
  <c r="G71" i="12" s="1"/>
  <c r="DT72" i="12"/>
  <c r="DT73" i="12"/>
  <c r="DT74" i="12"/>
  <c r="DT75" i="12"/>
  <c r="DT76" i="12"/>
  <c r="DT77" i="12"/>
  <c r="DT78" i="12"/>
  <c r="DT79" i="12"/>
  <c r="DT80" i="12"/>
  <c r="DT81" i="12"/>
  <c r="DT82" i="12"/>
  <c r="DT83" i="12"/>
  <c r="DT84" i="12"/>
  <c r="DT85" i="12"/>
  <c r="DT86" i="12"/>
  <c r="DT87" i="12"/>
  <c r="DT88" i="12"/>
  <c r="G88" i="12" s="1"/>
  <c r="DT91" i="12"/>
  <c r="DT92" i="12"/>
  <c r="DT93" i="12"/>
  <c r="DT94" i="12"/>
  <c r="DT95" i="12"/>
  <c r="DT96" i="12"/>
  <c r="DT97" i="12"/>
  <c r="DT98" i="12"/>
  <c r="G98" i="12" s="1"/>
  <c r="DT99" i="12"/>
  <c r="G99" i="12" s="1"/>
  <c r="DT100" i="12"/>
  <c r="DT101" i="12"/>
  <c r="DT102" i="12"/>
  <c r="DT103" i="12"/>
  <c r="DT104" i="12"/>
  <c r="DT105" i="12"/>
  <c r="DT106" i="12"/>
  <c r="DT107" i="12"/>
  <c r="DT108" i="12"/>
  <c r="DT109" i="12"/>
  <c r="G109" i="12" s="1"/>
  <c r="DT110" i="12"/>
  <c r="DT111" i="12"/>
  <c r="DT112" i="12"/>
  <c r="DT113" i="12"/>
  <c r="DT114" i="12"/>
  <c r="DT115" i="12"/>
  <c r="DT116" i="12"/>
  <c r="DT118" i="12"/>
  <c r="DT119" i="12"/>
  <c r="DT120" i="12"/>
  <c r="DT121" i="12"/>
  <c r="DT122" i="12"/>
  <c r="DT123" i="12"/>
  <c r="DT124" i="12"/>
  <c r="DT125" i="12"/>
  <c r="DT126" i="12"/>
  <c r="DT127" i="12"/>
  <c r="DT128" i="12"/>
  <c r="DT129" i="12"/>
  <c r="DT130" i="12"/>
  <c r="G130" i="12" s="1"/>
  <c r="DT131" i="12"/>
  <c r="DT132" i="12"/>
  <c r="DT133" i="12"/>
  <c r="DT134" i="12"/>
  <c r="DT135" i="12"/>
  <c r="DT136" i="12"/>
  <c r="G136" i="12" s="1"/>
  <c r="DT137" i="12"/>
  <c r="DT138" i="12"/>
  <c r="DT139" i="12"/>
  <c r="DT140" i="12"/>
  <c r="DT141" i="12"/>
  <c r="G141" i="12" s="1"/>
  <c r="DT142" i="12"/>
  <c r="DT143" i="12"/>
  <c r="DT144" i="12"/>
  <c r="DT145" i="12"/>
  <c r="DT146" i="12"/>
  <c r="DT147" i="12"/>
  <c r="G147" i="12" s="1"/>
  <c r="DT148" i="12"/>
  <c r="DT149" i="12"/>
  <c r="DT150" i="12"/>
  <c r="G150" i="12" s="1"/>
  <c r="DT151" i="12"/>
  <c r="DT152" i="12"/>
  <c r="DT153" i="12"/>
  <c r="G153" i="12" s="1"/>
  <c r="DT154" i="12"/>
  <c r="DT155" i="12"/>
  <c r="DT156" i="12"/>
  <c r="DT157" i="12"/>
  <c r="DT158" i="12"/>
  <c r="DT159" i="12"/>
  <c r="DT160" i="12"/>
  <c r="DT161" i="12"/>
  <c r="DT162" i="12"/>
  <c r="DT163" i="12"/>
  <c r="DT164" i="12"/>
  <c r="DT165" i="12"/>
  <c r="DT167" i="12"/>
  <c r="DT168" i="12"/>
  <c r="DT169" i="12"/>
  <c r="DT170" i="12"/>
  <c r="DT171" i="12"/>
  <c r="G171" i="12" s="1"/>
  <c r="DT172" i="12"/>
  <c r="DT173" i="12"/>
  <c r="DT174" i="12"/>
  <c r="DT175" i="12"/>
  <c r="DT176" i="12"/>
  <c r="DT177" i="12"/>
  <c r="DT178" i="12"/>
  <c r="DT179" i="12"/>
  <c r="DT180" i="12"/>
  <c r="DT181" i="12"/>
  <c r="DT182" i="12"/>
  <c r="DT183" i="12"/>
  <c r="DT184" i="12"/>
  <c r="DT185" i="12"/>
  <c r="DT186" i="12"/>
  <c r="DT187" i="12"/>
  <c r="DT188" i="12"/>
  <c r="DT189" i="12"/>
  <c r="DT190" i="12"/>
  <c r="G190" i="12" s="1"/>
  <c r="DT192" i="12"/>
  <c r="DT193" i="12"/>
  <c r="DT194" i="12"/>
  <c r="DT195" i="12"/>
  <c r="G195" i="12" s="1"/>
  <c r="DT196" i="12"/>
  <c r="DT197" i="12"/>
  <c r="DT198" i="12"/>
  <c r="DT199" i="12"/>
  <c r="DT200" i="12"/>
  <c r="DT201" i="12"/>
  <c r="DT202" i="12"/>
  <c r="DT203" i="12"/>
  <c r="DT204" i="12"/>
  <c r="DT205" i="12"/>
  <c r="DT206" i="12"/>
  <c r="DT207" i="12"/>
  <c r="DT208" i="12"/>
  <c r="DT209" i="12"/>
  <c r="DT210" i="12"/>
  <c r="DT211" i="12"/>
  <c r="DT212" i="12"/>
  <c r="DT213" i="12"/>
  <c r="DT214" i="12"/>
  <c r="DT215" i="12"/>
  <c r="DT216" i="12"/>
  <c r="DT217" i="12"/>
  <c r="DT218" i="12"/>
  <c r="DT219" i="12"/>
  <c r="DT220" i="12"/>
  <c r="DT221" i="12"/>
  <c r="DT222" i="12"/>
  <c r="DT223" i="12"/>
  <c r="DT224" i="12"/>
  <c r="DT225" i="12"/>
  <c r="DT226" i="12"/>
  <c r="DT227" i="12"/>
  <c r="DT228" i="12"/>
  <c r="DT229" i="12"/>
  <c r="DT230" i="12"/>
  <c r="DT231" i="12"/>
  <c r="DT232" i="12"/>
  <c r="DT233" i="12"/>
  <c r="DT234" i="12"/>
  <c r="DT235" i="12"/>
  <c r="DT236" i="12"/>
  <c r="DT237" i="12"/>
  <c r="DT238" i="12"/>
  <c r="DT239" i="12"/>
  <c r="DT240" i="12"/>
  <c r="DT241" i="12"/>
  <c r="DT242" i="12"/>
  <c r="DT243" i="12"/>
  <c r="DT244" i="12"/>
  <c r="DT245" i="12"/>
  <c r="DT246" i="12"/>
  <c r="DT247" i="12"/>
  <c r="DT248" i="12"/>
  <c r="DT249" i="12"/>
  <c r="DT250" i="12"/>
  <c r="DT251" i="12"/>
  <c r="DT252" i="12"/>
  <c r="G252" i="12" s="1"/>
  <c r="DT253" i="12"/>
  <c r="DT254" i="12"/>
  <c r="DT255" i="12"/>
  <c r="G255" i="12" s="1"/>
  <c r="DT256" i="12"/>
  <c r="DT257" i="12"/>
  <c r="DT258" i="12"/>
  <c r="DT259" i="12"/>
  <c r="DT260" i="12"/>
  <c r="G260" i="12" s="1"/>
  <c r="DT262" i="12"/>
  <c r="DT263" i="12"/>
  <c r="DT264" i="12"/>
  <c r="DT265" i="12"/>
  <c r="DT266" i="12"/>
  <c r="DT267" i="12"/>
  <c r="DT268" i="12"/>
  <c r="DT269" i="12"/>
  <c r="DT270" i="12"/>
  <c r="DT271" i="12"/>
  <c r="DT272" i="12"/>
  <c r="DT273" i="12"/>
  <c r="DT274" i="12"/>
  <c r="DT275" i="12"/>
  <c r="DT276" i="12"/>
  <c r="DT277" i="12"/>
  <c r="DT278" i="12"/>
  <c r="DT279" i="12"/>
  <c r="DT280" i="12"/>
  <c r="DT281" i="12"/>
  <c r="DT282" i="12"/>
  <c r="DT283" i="12"/>
  <c r="DT284" i="12"/>
  <c r="DT285" i="12"/>
  <c r="DT286" i="12"/>
  <c r="DT287" i="12"/>
  <c r="DT288" i="12"/>
  <c r="DT289" i="12"/>
  <c r="DT290" i="12"/>
  <c r="DT292" i="12"/>
  <c r="G292" i="12" s="1"/>
  <c r="DT293" i="12"/>
  <c r="DT294" i="12"/>
  <c r="DT295" i="12"/>
  <c r="G295" i="12" s="1"/>
  <c r="DT296" i="12"/>
  <c r="DT297" i="12"/>
  <c r="DT298" i="12"/>
  <c r="DT299" i="12"/>
  <c r="DT300" i="12"/>
  <c r="DT301" i="12"/>
  <c r="G301" i="12" s="1"/>
  <c r="DT302" i="12"/>
  <c r="G302" i="12" s="1"/>
  <c r="DT303" i="12"/>
  <c r="DT304" i="12"/>
  <c r="DT305" i="12"/>
  <c r="DT306" i="12"/>
  <c r="DT307" i="12"/>
  <c r="DT308" i="12"/>
  <c r="DT309" i="12"/>
  <c r="DT310" i="12"/>
  <c r="DT311" i="12"/>
  <c r="DT312" i="12"/>
  <c r="G312" i="12" s="1"/>
  <c r="DT313" i="12"/>
  <c r="DT314" i="12"/>
  <c r="DT315" i="12"/>
  <c r="DT316" i="12"/>
  <c r="DT317" i="12"/>
  <c r="DT318" i="12"/>
  <c r="DT319" i="12"/>
  <c r="DT321" i="12"/>
  <c r="DT322" i="12"/>
  <c r="DT323" i="12"/>
  <c r="G323" i="12" s="1"/>
  <c r="DT324" i="12"/>
  <c r="DT325" i="12"/>
  <c r="DT326" i="12"/>
  <c r="DT327" i="12"/>
  <c r="DT328" i="12"/>
  <c r="DT329" i="12"/>
  <c r="DT330" i="12"/>
  <c r="DT331" i="12"/>
  <c r="DT332" i="12"/>
  <c r="DT333" i="12"/>
  <c r="DT334" i="12"/>
  <c r="DT335" i="12"/>
  <c r="DT336" i="12"/>
  <c r="DT337" i="12"/>
  <c r="DT339" i="12"/>
  <c r="DT340" i="12"/>
  <c r="G340" i="12" s="1"/>
  <c r="DT341" i="12"/>
  <c r="DT342" i="12"/>
  <c r="DT343" i="12"/>
  <c r="DT344" i="12"/>
  <c r="DT345" i="12"/>
  <c r="DT346" i="12"/>
  <c r="DT347" i="12"/>
  <c r="DT348" i="12"/>
  <c r="DT349" i="12"/>
  <c r="DT350" i="12"/>
  <c r="DT351" i="12"/>
  <c r="DT352" i="12"/>
  <c r="DT353" i="12"/>
  <c r="DT354" i="12"/>
  <c r="DT355" i="12"/>
  <c r="DT356" i="12"/>
  <c r="DT357" i="12"/>
  <c r="DT358" i="12"/>
  <c r="DT359" i="12"/>
  <c r="DT360" i="12"/>
  <c r="DT361" i="12"/>
  <c r="DT362" i="12"/>
  <c r="DT363" i="12"/>
  <c r="DT364" i="12"/>
  <c r="DT365" i="12"/>
  <c r="DT366" i="12"/>
  <c r="G366" i="12" s="1"/>
  <c r="DT368" i="12"/>
  <c r="DT369" i="12"/>
  <c r="G369" i="12" s="1"/>
  <c r="DT370" i="12"/>
  <c r="DT371" i="12"/>
  <c r="DT372" i="12"/>
  <c r="DT373" i="12"/>
  <c r="DT374" i="12"/>
  <c r="DT375" i="12"/>
  <c r="DT376" i="12"/>
  <c r="G376" i="12" s="1"/>
  <c r="DT378" i="12"/>
  <c r="DT379" i="12"/>
  <c r="DT380" i="12"/>
  <c r="DT381" i="12"/>
  <c r="DT382" i="12"/>
  <c r="DT383" i="12"/>
  <c r="DT384" i="12"/>
  <c r="DT385" i="12"/>
  <c r="DT386" i="12"/>
  <c r="DT387" i="12"/>
  <c r="DT388" i="12"/>
  <c r="DT389" i="12"/>
  <c r="DT390" i="12"/>
  <c r="DT391" i="12"/>
  <c r="DT392" i="12"/>
  <c r="G392" i="12" s="1"/>
  <c r="DT393" i="12"/>
  <c r="G393" i="12" s="1"/>
  <c r="DT394" i="12"/>
  <c r="DT395" i="12"/>
  <c r="G395" i="12" s="1"/>
  <c r="DT396" i="12"/>
  <c r="DT397" i="12"/>
  <c r="DT398" i="12"/>
  <c r="DT399" i="12"/>
  <c r="DT400" i="12"/>
  <c r="DT401" i="12"/>
  <c r="DT402" i="12"/>
  <c r="DT403" i="12"/>
  <c r="DT404" i="12"/>
  <c r="DT405" i="12"/>
  <c r="DT406" i="12"/>
  <c r="G406" i="12" s="1"/>
  <c r="DT407" i="12"/>
  <c r="DT408" i="12"/>
  <c r="DT409" i="12"/>
  <c r="DT410" i="12"/>
  <c r="DT411" i="12"/>
  <c r="DT412" i="12"/>
  <c r="DT413" i="12"/>
  <c r="DT414" i="12"/>
  <c r="DT415" i="12"/>
  <c r="DT416" i="12"/>
  <c r="DT417" i="12"/>
  <c r="DT418" i="12"/>
  <c r="DT419" i="12"/>
  <c r="DT420" i="12"/>
  <c r="DT421" i="12"/>
  <c r="DT422" i="12"/>
  <c r="DT423" i="12"/>
  <c r="DT424" i="12"/>
  <c r="DT425" i="12"/>
  <c r="DT426" i="12"/>
  <c r="DT427" i="12"/>
  <c r="DT428" i="12"/>
  <c r="DT429" i="12"/>
  <c r="DT430" i="12"/>
  <c r="DT431" i="12"/>
  <c r="DT432" i="12"/>
  <c r="DT433" i="12"/>
  <c r="DT434" i="12"/>
  <c r="DT435" i="12"/>
  <c r="DT436" i="12"/>
  <c r="DT437" i="12"/>
  <c r="DT438" i="12"/>
  <c r="DT439" i="12"/>
  <c r="DT440" i="12"/>
  <c r="DT441" i="12"/>
  <c r="DT442" i="12"/>
  <c r="DT443" i="12"/>
  <c r="DT444" i="12"/>
  <c r="DT445" i="12"/>
  <c r="DT446" i="12"/>
  <c r="DT447" i="12"/>
  <c r="DT450" i="12"/>
  <c r="DT451" i="12"/>
  <c r="G451" i="12" s="1"/>
  <c r="DT452" i="12"/>
  <c r="DT453" i="12"/>
  <c r="G453" i="12" s="1"/>
  <c r="DT454" i="12"/>
  <c r="DT455" i="12"/>
  <c r="DT456" i="12"/>
  <c r="DT457" i="12"/>
  <c r="DT458" i="12"/>
  <c r="G458" i="12" s="1"/>
  <c r="DT459" i="12"/>
  <c r="DT460" i="12"/>
  <c r="DT461" i="12"/>
  <c r="DT462" i="12"/>
  <c r="DT463" i="12"/>
  <c r="DT464" i="12"/>
  <c r="DT465" i="12"/>
  <c r="DT466" i="12"/>
  <c r="DT467" i="12"/>
  <c r="DT468" i="12"/>
  <c r="DT469" i="12"/>
  <c r="DT470" i="12"/>
  <c r="DT471" i="12"/>
  <c r="DT473" i="12"/>
  <c r="DT474" i="12"/>
  <c r="DT475" i="12"/>
  <c r="DT476" i="12"/>
  <c r="DT477" i="12"/>
  <c r="DT478" i="12"/>
  <c r="DT479" i="12"/>
  <c r="DT480" i="12"/>
  <c r="DT481" i="12"/>
  <c r="DT482" i="12"/>
  <c r="DT483" i="12"/>
  <c r="DT484" i="12"/>
  <c r="DT485" i="12"/>
  <c r="DT486" i="12"/>
  <c r="DT487" i="12"/>
  <c r="DT488" i="12"/>
  <c r="DT489" i="12"/>
  <c r="DT490" i="12"/>
  <c r="DT491" i="12"/>
  <c r="DT492" i="12"/>
  <c r="DT493" i="12"/>
  <c r="DT494" i="12"/>
  <c r="DT495" i="12"/>
  <c r="DT496" i="12"/>
  <c r="DT497" i="12"/>
  <c r="DT498" i="12"/>
  <c r="DT499" i="12"/>
  <c r="DT500" i="12"/>
  <c r="DT501" i="12"/>
  <c r="G501" i="12" s="1"/>
  <c r="DT502" i="12"/>
  <c r="DT503" i="12"/>
  <c r="DT504" i="12"/>
  <c r="DT505" i="12"/>
  <c r="DT506" i="12"/>
  <c r="DT507" i="12"/>
  <c r="DT508" i="12"/>
  <c r="DT509" i="12"/>
  <c r="DT510" i="12"/>
  <c r="DT511" i="12"/>
  <c r="DT512" i="12"/>
  <c r="DT513" i="12"/>
  <c r="DT514" i="12"/>
  <c r="G514" i="12" s="1"/>
  <c r="DT515" i="12"/>
  <c r="DT516" i="12"/>
  <c r="DT517" i="12"/>
  <c r="DT518" i="12"/>
  <c r="DT520" i="12"/>
  <c r="G520" i="12" s="1"/>
  <c r="DT521" i="12"/>
  <c r="DT522" i="12"/>
  <c r="DT523" i="12"/>
  <c r="DT524" i="12"/>
  <c r="DT527" i="12"/>
  <c r="DT528" i="12"/>
  <c r="DT529" i="12"/>
  <c r="DT530" i="12"/>
  <c r="G530" i="12" s="1"/>
  <c r="DT531" i="12"/>
  <c r="DT533" i="12"/>
  <c r="DT534" i="12"/>
  <c r="G534" i="12" s="1"/>
  <c r="G533" i="12" s="1"/>
  <c r="DT535" i="12"/>
  <c r="DT536" i="12"/>
  <c r="DT537" i="12"/>
  <c r="DT538" i="12"/>
  <c r="DT539" i="12"/>
  <c r="DT540" i="12"/>
  <c r="DT541" i="12"/>
  <c r="G541" i="12" s="1"/>
  <c r="DT542" i="12"/>
  <c r="DT543" i="12"/>
  <c r="DT544" i="12"/>
  <c r="DT545" i="12"/>
  <c r="DT546" i="12"/>
  <c r="DT547" i="12"/>
  <c r="DT548" i="12"/>
  <c r="DT549" i="12"/>
  <c r="DT550" i="12"/>
  <c r="DT551" i="12"/>
  <c r="DT552" i="12"/>
  <c r="DT553" i="12"/>
  <c r="DT554" i="12"/>
  <c r="DT556" i="12"/>
  <c r="DT557" i="12"/>
  <c r="DT558" i="12"/>
  <c r="DT559" i="12"/>
  <c r="DT560" i="12"/>
  <c r="DT561" i="12"/>
  <c r="DT562" i="12"/>
  <c r="DT563" i="12"/>
  <c r="DT564" i="12"/>
  <c r="DT565" i="12"/>
  <c r="DT566" i="12"/>
  <c r="DT567" i="12"/>
  <c r="DT568" i="12"/>
  <c r="DT569" i="12"/>
  <c r="DT570" i="12"/>
  <c r="DT571" i="12"/>
  <c r="DT572" i="12"/>
  <c r="DT573" i="12"/>
  <c r="DT574" i="12"/>
  <c r="DT575" i="12"/>
  <c r="DT576" i="12"/>
  <c r="DT577" i="12"/>
  <c r="DT578" i="12"/>
  <c r="DT579" i="12"/>
  <c r="G579" i="12" s="1"/>
  <c r="DT580" i="12"/>
  <c r="DT581" i="12"/>
  <c r="DT582" i="12"/>
  <c r="DT583" i="12"/>
  <c r="DT584" i="12"/>
  <c r="DT585" i="12"/>
  <c r="DT586" i="12"/>
  <c r="DT587" i="12"/>
  <c r="G587" i="12" s="1"/>
  <c r="DT588" i="12"/>
  <c r="DT589" i="12"/>
  <c r="DT590" i="12"/>
  <c r="DT591" i="12"/>
  <c r="G591" i="12" s="1"/>
  <c r="DT593" i="12"/>
  <c r="DT594" i="12"/>
  <c r="DT595" i="12"/>
  <c r="DT596" i="12"/>
  <c r="DT597" i="12"/>
  <c r="DT598" i="12"/>
  <c r="DT599" i="12"/>
  <c r="DT600" i="12"/>
  <c r="DT601" i="12"/>
  <c r="DT602" i="12"/>
  <c r="G602" i="12" s="1"/>
  <c r="DT603" i="12"/>
  <c r="DT604" i="12"/>
  <c r="DT605" i="12"/>
  <c r="DT606" i="12"/>
  <c r="DT607" i="12"/>
  <c r="DT608" i="12"/>
  <c r="DT609" i="12"/>
  <c r="DT610" i="12"/>
  <c r="DT612" i="12"/>
  <c r="G612" i="12" s="1"/>
  <c r="DT613" i="12"/>
  <c r="DT614" i="12"/>
  <c r="DT615" i="12"/>
  <c r="DT616" i="12"/>
  <c r="DT617" i="12"/>
  <c r="DT618" i="12"/>
  <c r="DT619" i="12"/>
  <c r="DT620" i="12"/>
  <c r="DT621" i="12"/>
  <c r="DT622" i="12"/>
  <c r="DT623" i="12"/>
  <c r="DT624" i="12"/>
  <c r="DT625" i="12"/>
  <c r="DT626" i="12"/>
  <c r="DT627" i="12"/>
  <c r="DT628" i="12"/>
  <c r="DT629" i="12"/>
  <c r="DT630" i="12"/>
  <c r="DT631" i="12"/>
  <c r="DT632" i="12"/>
  <c r="DT633" i="12"/>
  <c r="DT634" i="12"/>
  <c r="DT635" i="12"/>
  <c r="DT636" i="12"/>
  <c r="DT637" i="12"/>
  <c r="DT638" i="12"/>
  <c r="DT639" i="12"/>
  <c r="DT640" i="12"/>
  <c r="DT641" i="12"/>
  <c r="DT642" i="12"/>
  <c r="DT643" i="12"/>
  <c r="DT644" i="12"/>
  <c r="DT645" i="12"/>
  <c r="DT646" i="12"/>
  <c r="DT647" i="12"/>
  <c r="DT648" i="12"/>
  <c r="DT649" i="12"/>
  <c r="G649" i="12" s="1"/>
  <c r="DT650" i="12"/>
  <c r="G650" i="12" s="1"/>
  <c r="DT651" i="12"/>
  <c r="DT652" i="12"/>
  <c r="DT653" i="12"/>
  <c r="DT654" i="12"/>
  <c r="DT655" i="12"/>
  <c r="DT656" i="12"/>
  <c r="G656" i="12" s="1"/>
  <c r="DT658" i="12"/>
  <c r="DT659" i="12"/>
  <c r="DT660" i="12"/>
  <c r="DT661" i="12"/>
  <c r="DT662" i="12"/>
  <c r="DT663" i="12"/>
  <c r="DT664" i="12"/>
  <c r="DT665" i="12"/>
  <c r="DT666" i="12"/>
  <c r="DT667" i="12"/>
  <c r="G667" i="12" s="1"/>
  <c r="DT668" i="12"/>
  <c r="DT669" i="12"/>
  <c r="DT670" i="12"/>
  <c r="DT671" i="12"/>
  <c r="DT672" i="12"/>
  <c r="DT673" i="12"/>
  <c r="DT674" i="12"/>
  <c r="DT675" i="12"/>
  <c r="DT676" i="12"/>
  <c r="DT677" i="12"/>
  <c r="DT678" i="12"/>
  <c r="G678" i="12" s="1"/>
  <c r="DT679" i="12"/>
  <c r="G679" i="12" s="1"/>
  <c r="DT680" i="12"/>
  <c r="DT681" i="12"/>
  <c r="G681" i="12" s="1"/>
  <c r="DT682" i="12"/>
  <c r="DT683" i="12"/>
  <c r="G683" i="12" s="1"/>
  <c r="DT684" i="12"/>
  <c r="DT685" i="12"/>
  <c r="DT686" i="12"/>
  <c r="DT687" i="12"/>
  <c r="DT688" i="12"/>
  <c r="DT689" i="12"/>
  <c r="DT690" i="12"/>
  <c r="DT691" i="12"/>
  <c r="DT692" i="12"/>
  <c r="DT693" i="12"/>
  <c r="DT694" i="12"/>
  <c r="G694" i="12" s="1"/>
  <c r="DT695" i="12"/>
  <c r="DT696" i="12"/>
  <c r="DT697" i="12"/>
  <c r="DT698" i="12"/>
  <c r="DT699" i="12"/>
  <c r="DT700" i="12"/>
  <c r="DT701" i="12"/>
  <c r="DT702" i="12"/>
  <c r="DT703" i="12"/>
  <c r="DT704" i="12"/>
  <c r="DT705" i="12"/>
  <c r="DT706" i="12"/>
  <c r="DT707" i="12"/>
  <c r="DT708" i="12"/>
  <c r="DT709" i="12"/>
  <c r="DT710" i="12"/>
  <c r="DT711" i="12"/>
  <c r="DT712" i="12"/>
  <c r="DT713" i="12"/>
  <c r="DT714" i="12"/>
  <c r="DT715" i="12"/>
  <c r="G715" i="12" s="1"/>
  <c r="DT716" i="12"/>
  <c r="DT717" i="12"/>
  <c r="DT718" i="12"/>
  <c r="DT719" i="12"/>
  <c r="DT720" i="12"/>
  <c r="DT721" i="12"/>
  <c r="DT722" i="12"/>
  <c r="DT723" i="12"/>
  <c r="DT724" i="12"/>
  <c r="DT725" i="12"/>
  <c r="DT726" i="12"/>
  <c r="DT727" i="12"/>
  <c r="G727" i="12" s="1"/>
  <c r="DT728" i="12"/>
  <c r="DT729" i="12"/>
  <c r="DT730" i="12"/>
  <c r="DT731" i="12"/>
  <c r="G731" i="12" s="1"/>
  <c r="DT732" i="12"/>
  <c r="DT733" i="12"/>
  <c r="DT734" i="12"/>
  <c r="DT735" i="12"/>
  <c r="DT736" i="12"/>
  <c r="G736" i="12" s="1"/>
  <c r="DT737" i="12"/>
  <c r="DT738" i="12"/>
  <c r="G738" i="12" s="1"/>
  <c r="DT739" i="12"/>
  <c r="DT740" i="12"/>
  <c r="DT741" i="12"/>
  <c r="DT742" i="12"/>
  <c r="DT743" i="12"/>
  <c r="DT744" i="12"/>
  <c r="G744" i="12" s="1"/>
  <c r="DT745" i="12"/>
  <c r="DT746" i="12"/>
  <c r="G746" i="12" s="1"/>
  <c r="DT747" i="12"/>
  <c r="DT748" i="12"/>
  <c r="DT749" i="12"/>
  <c r="DT751" i="12"/>
  <c r="DT752" i="12"/>
  <c r="G752" i="12" s="1"/>
  <c r="DT753" i="12"/>
  <c r="DT754" i="12"/>
  <c r="DT755" i="12"/>
  <c r="DT756" i="12"/>
  <c r="DT757" i="12"/>
  <c r="DT758" i="12"/>
  <c r="DT759" i="12"/>
  <c r="DT760" i="12"/>
  <c r="DT761" i="12"/>
  <c r="DT762" i="12"/>
  <c r="DT763" i="12"/>
  <c r="DT764" i="12"/>
  <c r="DT765" i="12"/>
  <c r="DT766" i="12"/>
  <c r="DT767" i="12"/>
  <c r="DT768" i="12"/>
  <c r="DT769" i="12"/>
  <c r="DT770" i="12"/>
  <c r="DT771" i="12"/>
  <c r="DT772" i="12"/>
  <c r="DT773" i="12"/>
  <c r="DT774" i="12"/>
  <c r="DT775" i="12"/>
  <c r="DT776" i="12"/>
  <c r="DT777" i="12"/>
  <c r="DT778" i="12"/>
  <c r="DT779" i="12"/>
  <c r="DT780" i="12"/>
  <c r="DT781" i="12"/>
  <c r="DT782" i="12"/>
  <c r="DT783" i="12"/>
  <c r="DT784" i="12"/>
  <c r="DT785" i="12"/>
  <c r="DT786" i="12"/>
  <c r="DT787" i="12"/>
  <c r="DT788" i="12"/>
  <c r="DT789" i="12"/>
  <c r="DT790" i="12"/>
  <c r="DT791" i="12"/>
  <c r="DT792" i="12"/>
  <c r="DT793" i="12"/>
  <c r="DT794" i="12"/>
  <c r="DT795" i="12"/>
  <c r="DT796" i="12"/>
  <c r="DT797" i="12"/>
  <c r="DT798" i="12"/>
  <c r="DT799" i="12"/>
  <c r="DT800" i="12"/>
  <c r="DT801" i="12"/>
  <c r="DT802" i="12"/>
  <c r="DT803" i="12"/>
  <c r="DT804" i="12"/>
  <c r="DT805" i="12"/>
  <c r="DT806" i="12"/>
  <c r="DT807" i="12"/>
  <c r="DT808" i="12"/>
  <c r="DT809" i="12"/>
  <c r="DT810" i="12"/>
  <c r="DT811" i="12"/>
  <c r="DT812" i="12"/>
  <c r="DT813" i="12"/>
  <c r="DT814" i="12"/>
  <c r="DT815" i="12"/>
  <c r="DT816" i="12"/>
  <c r="DT817" i="12"/>
  <c r="DT818" i="12"/>
  <c r="DT819" i="12"/>
  <c r="DT820" i="12"/>
  <c r="DT821" i="12"/>
  <c r="DT822" i="12"/>
  <c r="DT823" i="12"/>
  <c r="DT824" i="12"/>
  <c r="DT825" i="12"/>
  <c r="DT826" i="12"/>
  <c r="DT827" i="12"/>
  <c r="DT828" i="12"/>
  <c r="DT829" i="12"/>
  <c r="DT830" i="12"/>
  <c r="DT831" i="12"/>
  <c r="DT832" i="12"/>
  <c r="DT833" i="12"/>
  <c r="DT834" i="12"/>
  <c r="DT835" i="12"/>
  <c r="DT836" i="12"/>
  <c r="DT837" i="12"/>
  <c r="DT838" i="12"/>
  <c r="DT839" i="12"/>
  <c r="DT840" i="12"/>
  <c r="DT841" i="12"/>
  <c r="DT842" i="12"/>
  <c r="DT843" i="12"/>
  <c r="DT844" i="12"/>
  <c r="DT845" i="12"/>
  <c r="DT846" i="12"/>
  <c r="DT847" i="12"/>
  <c r="DT848" i="12"/>
  <c r="DT849" i="12"/>
  <c r="DT850" i="12"/>
  <c r="DT851" i="12"/>
  <c r="DT852" i="12"/>
  <c r="DT853" i="12"/>
  <c r="DT854" i="12"/>
  <c r="DT855" i="12"/>
  <c r="DT856" i="12"/>
  <c r="DT857" i="12"/>
  <c r="DT858" i="12"/>
  <c r="DT859" i="12"/>
  <c r="DT860" i="12"/>
  <c r="DT861" i="12"/>
  <c r="DT862" i="12"/>
  <c r="DT863" i="12"/>
  <c r="DT864" i="12"/>
  <c r="DT865" i="12"/>
  <c r="DT866" i="12"/>
  <c r="DT867" i="12"/>
  <c r="DT868" i="12"/>
  <c r="DT869" i="12"/>
  <c r="DT870" i="12"/>
  <c r="DT871" i="12"/>
  <c r="DT872" i="12"/>
  <c r="DT873" i="12"/>
  <c r="DT874" i="12"/>
  <c r="DT875" i="12"/>
  <c r="DT876" i="12"/>
  <c r="DT877" i="12"/>
  <c r="DT878" i="12"/>
  <c r="DT879" i="12"/>
  <c r="DT880" i="12"/>
  <c r="DT881" i="12"/>
  <c r="DT882" i="12"/>
  <c r="DT883" i="12"/>
  <c r="DT884" i="12"/>
  <c r="DT885" i="12"/>
  <c r="DT886" i="12"/>
  <c r="G886" i="12" s="1"/>
  <c r="DT887" i="12"/>
  <c r="DT888" i="12"/>
  <c r="DT889" i="12"/>
  <c r="DT890" i="12"/>
  <c r="DT891" i="12"/>
  <c r="DT892" i="12"/>
  <c r="DT893" i="12"/>
  <c r="DT894" i="12"/>
  <c r="DT895" i="12"/>
  <c r="DT896" i="12"/>
  <c r="DT897" i="12"/>
  <c r="DT898" i="12"/>
  <c r="G898" i="12" s="1"/>
  <c r="DT899" i="12"/>
  <c r="DT900" i="12"/>
  <c r="DT901" i="12"/>
  <c r="DT902" i="12"/>
  <c r="DT903" i="12"/>
  <c r="DT904" i="12"/>
  <c r="DT905" i="12"/>
  <c r="DT906" i="12"/>
  <c r="DT907" i="12"/>
  <c r="DT908" i="12"/>
  <c r="DT909" i="12"/>
  <c r="DT910" i="12"/>
  <c r="DT911" i="12"/>
  <c r="DT912" i="12"/>
  <c r="DT913" i="12"/>
  <c r="DT914" i="12"/>
  <c r="DT915" i="12"/>
  <c r="G915" i="12" s="1"/>
  <c r="DT916" i="12"/>
  <c r="DT917" i="12"/>
  <c r="DT918" i="12"/>
  <c r="DT919" i="12"/>
  <c r="DT920" i="12"/>
  <c r="DT921" i="12"/>
  <c r="DT922" i="12"/>
  <c r="DT923" i="12"/>
  <c r="DT924" i="12"/>
  <c r="DT925" i="12"/>
  <c r="DT926" i="12"/>
  <c r="DT927" i="12"/>
  <c r="DT928" i="12"/>
  <c r="DT929" i="12"/>
  <c r="DT930" i="12"/>
  <c r="DT931" i="12"/>
  <c r="DT932" i="12"/>
  <c r="DT933" i="12"/>
  <c r="DT934" i="12"/>
  <c r="DT935" i="12"/>
  <c r="DT936" i="12"/>
  <c r="DT937" i="12"/>
  <c r="DT938" i="12"/>
  <c r="DT939" i="12"/>
  <c r="DT940" i="12"/>
  <c r="DT941" i="12"/>
  <c r="DT942" i="12"/>
  <c r="DT943" i="12"/>
  <c r="DT944" i="12"/>
  <c r="DT945" i="12"/>
  <c r="G945" i="12" s="1"/>
  <c r="DT946" i="12"/>
  <c r="DT947" i="12"/>
  <c r="DT948" i="12"/>
  <c r="DT949" i="12"/>
  <c r="DT950" i="12"/>
  <c r="DT951" i="12"/>
  <c r="DT952" i="12"/>
  <c r="DT953" i="12"/>
  <c r="DT954" i="12"/>
  <c r="DT955" i="12"/>
  <c r="DT956" i="12"/>
  <c r="DT957" i="12"/>
  <c r="DT958" i="12"/>
  <c r="DT959" i="12"/>
  <c r="DT960" i="12"/>
  <c r="DT961" i="12"/>
  <c r="DT962" i="12"/>
  <c r="DT963" i="12"/>
  <c r="DT964" i="12"/>
  <c r="DT965" i="12"/>
  <c r="DT966" i="12"/>
  <c r="DT967" i="12"/>
  <c r="DT968" i="12"/>
  <c r="DT969" i="12"/>
  <c r="DT970" i="12"/>
  <c r="DT971" i="12"/>
  <c r="DT972" i="12"/>
  <c r="DT973" i="12"/>
  <c r="DT974" i="12"/>
  <c r="DT975" i="12"/>
  <c r="DT976" i="12"/>
  <c r="DT977" i="12"/>
  <c r="DT978" i="12"/>
  <c r="DT979" i="12"/>
  <c r="DT980" i="12"/>
  <c r="DT981" i="12"/>
  <c r="DT982" i="12"/>
  <c r="DT983" i="12"/>
  <c r="DT984" i="12"/>
  <c r="DT985" i="12"/>
  <c r="DT986" i="12"/>
  <c r="DT987" i="12"/>
  <c r="DT988" i="12"/>
  <c r="DT989" i="12"/>
  <c r="DT990" i="12"/>
  <c r="DT991" i="12"/>
  <c r="DT992" i="12"/>
  <c r="DT996" i="12"/>
  <c r="DT997" i="12"/>
  <c r="DT998" i="12"/>
  <c r="DT999" i="12"/>
  <c r="DT1000" i="12"/>
  <c r="G1000" i="12" s="1"/>
  <c r="DT1001" i="12"/>
  <c r="DT1002" i="12"/>
  <c r="DT1003" i="12"/>
  <c r="DT1004" i="12"/>
  <c r="DT1005" i="12"/>
  <c r="DT1006" i="12"/>
  <c r="DT1007" i="12"/>
  <c r="DT1008" i="12"/>
  <c r="DT1009" i="12"/>
  <c r="DT1010" i="12"/>
  <c r="DT1011" i="12"/>
  <c r="DT1012" i="12"/>
  <c r="DT1013" i="12"/>
  <c r="DT1014" i="12"/>
  <c r="DT1015" i="12"/>
  <c r="DT1016" i="12"/>
  <c r="DT1017" i="12"/>
  <c r="DT1018" i="12"/>
  <c r="DT1019" i="12"/>
  <c r="DT1020" i="12"/>
  <c r="DT1021" i="12"/>
  <c r="DT1022" i="12"/>
  <c r="DT1023" i="12"/>
  <c r="DT1024" i="12"/>
  <c r="DT1025" i="12"/>
  <c r="DT1026" i="12"/>
  <c r="DT1027" i="12"/>
  <c r="DT1028" i="12"/>
  <c r="DT1029" i="12"/>
  <c r="DT1030" i="12"/>
  <c r="DT1031" i="12"/>
  <c r="DT1032" i="12"/>
  <c r="DT1033" i="12"/>
  <c r="DT1034" i="12"/>
  <c r="DT1035" i="12"/>
  <c r="DT1036" i="12"/>
  <c r="DT1037" i="12"/>
  <c r="DT1038" i="12"/>
  <c r="DT1039" i="12"/>
  <c r="DT1040" i="12"/>
  <c r="DT1041" i="12"/>
  <c r="DT1042" i="12"/>
  <c r="DT1043" i="12"/>
  <c r="DT1044" i="12"/>
  <c r="DT1045" i="12"/>
  <c r="DT1046" i="12"/>
  <c r="DT1047" i="12"/>
  <c r="DT1048" i="12"/>
  <c r="DT1049" i="12"/>
  <c r="DT1050" i="12"/>
  <c r="DT1051" i="12"/>
  <c r="DT1052" i="12"/>
  <c r="DT1053" i="12"/>
  <c r="DT1054" i="12"/>
  <c r="DT1055" i="12"/>
  <c r="DT1056" i="12"/>
  <c r="DT1057" i="12"/>
  <c r="DT1058" i="12"/>
  <c r="DT1059" i="12"/>
  <c r="DT1060" i="12"/>
  <c r="DT1061" i="12"/>
  <c r="DT1062" i="12"/>
  <c r="DT1063" i="12"/>
  <c r="DT1064" i="12"/>
  <c r="DT1065" i="12"/>
  <c r="DT1066" i="12"/>
  <c r="DT1067" i="12"/>
  <c r="DT1068" i="12"/>
  <c r="DT1069" i="12"/>
  <c r="DT1070" i="12"/>
  <c r="DT1071" i="12"/>
  <c r="DT1072" i="12"/>
  <c r="DT1073" i="12"/>
  <c r="DT1074" i="12"/>
  <c r="DT1075" i="12"/>
  <c r="DT1076" i="12"/>
  <c r="DT1077" i="12"/>
  <c r="DT1078" i="12"/>
  <c r="DT1079" i="12"/>
  <c r="DT1080" i="12"/>
  <c r="DT1081" i="12"/>
  <c r="DT1082" i="12"/>
  <c r="DT1083" i="12"/>
  <c r="DT1084" i="12"/>
  <c r="DT1085" i="12"/>
  <c r="DT1086" i="12"/>
  <c r="DT1087" i="12"/>
  <c r="DT1088" i="12"/>
  <c r="DT1089" i="12"/>
  <c r="DT1090" i="12"/>
  <c r="DT1091" i="12"/>
  <c r="DT1092" i="12"/>
  <c r="DT1093" i="12"/>
  <c r="DT1094" i="12"/>
  <c r="DT1095" i="12"/>
  <c r="DT1096" i="12"/>
  <c r="DT1097" i="12"/>
  <c r="DT1098" i="12"/>
  <c r="DT1099" i="12"/>
  <c r="DT1100" i="12"/>
  <c r="DT1101" i="12"/>
  <c r="DT1102" i="12"/>
  <c r="DT1103" i="12"/>
  <c r="DT1104" i="12"/>
  <c r="DT1105" i="12"/>
  <c r="DT1106" i="12"/>
  <c r="DT1107" i="12"/>
  <c r="DT1108" i="12"/>
  <c r="DT1109" i="12"/>
  <c r="DT1110" i="12"/>
  <c r="DT1111" i="12"/>
  <c r="DT1112" i="12"/>
  <c r="DT1113" i="12"/>
  <c r="DT1114" i="12"/>
  <c r="G1114" i="12" s="1"/>
  <c r="DT1115" i="12"/>
  <c r="DT1116" i="12"/>
  <c r="DT1117" i="12"/>
  <c r="DT1118" i="12"/>
  <c r="DT1119" i="12"/>
  <c r="DT1120" i="12"/>
  <c r="DT1121" i="12"/>
  <c r="DT1122" i="12"/>
  <c r="DT1123" i="12"/>
  <c r="DT1124" i="12"/>
  <c r="DT1125" i="12"/>
  <c r="DT1126" i="12"/>
  <c r="G1126" i="12" s="1"/>
  <c r="DT1127" i="12"/>
  <c r="DT1128" i="12"/>
  <c r="DT1129" i="12"/>
  <c r="DT1130" i="12"/>
  <c r="DT1131" i="12"/>
  <c r="DT1132" i="12"/>
  <c r="DT1133" i="12"/>
  <c r="DT1134" i="12"/>
  <c r="DT1135" i="12"/>
  <c r="DT1136" i="12"/>
  <c r="DT1137" i="12"/>
  <c r="DT1138" i="12"/>
  <c r="DT1139" i="12"/>
  <c r="DT1140" i="12"/>
  <c r="DT1141" i="12"/>
  <c r="DT1142" i="12"/>
  <c r="DT1143" i="12"/>
  <c r="G1143" i="12" s="1"/>
  <c r="DT1144" i="12"/>
  <c r="DT1145" i="12"/>
  <c r="DT1146" i="12"/>
  <c r="DT1147" i="12"/>
  <c r="DT1148" i="12"/>
  <c r="DT1149" i="12"/>
  <c r="DT1150" i="12"/>
  <c r="DT1151" i="12"/>
  <c r="DT1152" i="12"/>
  <c r="DT1153" i="12"/>
  <c r="DT1154" i="12"/>
  <c r="DT1155" i="12"/>
  <c r="DT1156" i="12"/>
  <c r="DT1157" i="12"/>
  <c r="DT1158" i="12"/>
  <c r="DT1159" i="12"/>
  <c r="DT1160" i="12"/>
  <c r="DT1161" i="12"/>
  <c r="DT1162" i="12"/>
  <c r="DT1163" i="12"/>
  <c r="DT1164" i="12"/>
  <c r="DT1165" i="12"/>
  <c r="DT1166" i="12"/>
  <c r="DT1167" i="12"/>
  <c r="DT1168" i="12"/>
  <c r="DT1169" i="12"/>
  <c r="DT1170" i="12"/>
  <c r="DT1171" i="12"/>
  <c r="DT1172" i="12"/>
  <c r="DT1173" i="12"/>
  <c r="DT1174" i="12"/>
  <c r="DT1175" i="12"/>
  <c r="DT1176" i="12"/>
  <c r="DT1177" i="12"/>
  <c r="DT1178" i="12"/>
  <c r="DT1179" i="12"/>
  <c r="DT1180" i="12"/>
  <c r="DT1181" i="12"/>
  <c r="DT1182" i="12"/>
  <c r="DT1183" i="12"/>
  <c r="DT1184" i="12"/>
  <c r="DT1185" i="12"/>
  <c r="DT1186" i="12"/>
  <c r="DT1187" i="12"/>
  <c r="DT1188" i="12"/>
  <c r="DT1189" i="12"/>
  <c r="DT1191" i="12"/>
  <c r="DT1192" i="12"/>
  <c r="DT1193" i="12"/>
  <c r="DT1195" i="12"/>
  <c r="DT1196" i="12"/>
  <c r="G1196" i="12" s="1"/>
  <c r="DT1197" i="12"/>
  <c r="DT1198" i="12"/>
  <c r="DT1199" i="12"/>
  <c r="DT1200" i="12"/>
  <c r="DT1201" i="12"/>
  <c r="DT1202" i="12"/>
  <c r="DT1203" i="12"/>
  <c r="DT1204" i="12"/>
  <c r="DT1205" i="12"/>
  <c r="DT1206" i="12"/>
  <c r="DT1207" i="12"/>
  <c r="DT1208" i="12"/>
  <c r="DT1209" i="12"/>
  <c r="DT1210" i="12"/>
  <c r="DT1211" i="12"/>
  <c r="DT1212" i="12"/>
  <c r="DT1213" i="12"/>
  <c r="DT1214" i="12"/>
  <c r="DT1215" i="12"/>
  <c r="DT1216" i="12"/>
  <c r="DT1217" i="12"/>
  <c r="DT1218" i="12"/>
  <c r="DT1219" i="12"/>
  <c r="DT1220" i="12"/>
  <c r="DT1221" i="12"/>
  <c r="DT1222" i="12"/>
  <c r="DT1223" i="12"/>
  <c r="DT1224" i="12"/>
  <c r="DT1225" i="12"/>
  <c r="DT1226" i="12"/>
  <c r="DT1227" i="12"/>
  <c r="DT1228" i="12"/>
  <c r="DT1229" i="12"/>
  <c r="DT1230" i="12"/>
  <c r="DT1231" i="12"/>
  <c r="DT1232" i="12"/>
  <c r="G1232" i="12" s="1"/>
  <c r="DT1233" i="12"/>
  <c r="DT1234" i="12"/>
  <c r="G1234" i="12" s="1"/>
  <c r="DT1235" i="12"/>
  <c r="DT1236" i="12"/>
  <c r="DT1237" i="12"/>
  <c r="DT1238" i="12"/>
  <c r="DT1239" i="12"/>
  <c r="DT1240" i="12"/>
  <c r="DT1241" i="12"/>
  <c r="DT1242" i="12"/>
  <c r="DT1243" i="12"/>
  <c r="DT1244" i="12"/>
  <c r="DT1245" i="12"/>
  <c r="DT1246" i="12"/>
  <c r="DT1247" i="12"/>
  <c r="DT1248" i="12"/>
  <c r="DT1249" i="12"/>
  <c r="DT1250" i="12"/>
  <c r="DT1251" i="12"/>
  <c r="DT1252" i="12"/>
  <c r="DT1253" i="12"/>
  <c r="DT1254" i="12"/>
  <c r="DT1255" i="12"/>
  <c r="DT1256" i="12"/>
  <c r="DT1257" i="12"/>
  <c r="DT1258" i="12"/>
  <c r="DT1259" i="12"/>
  <c r="DT1260" i="12"/>
  <c r="DT1261" i="12"/>
  <c r="DT1262" i="12"/>
  <c r="DT1263" i="12"/>
  <c r="DT1264" i="12"/>
  <c r="DT1265" i="12"/>
  <c r="DT1266" i="12"/>
  <c r="DT1267" i="12"/>
  <c r="DT1268" i="12"/>
  <c r="DT1269" i="12"/>
  <c r="DT1270" i="12"/>
  <c r="DT1271" i="12"/>
  <c r="DT1272" i="12"/>
  <c r="DT1273" i="12"/>
  <c r="DT1274" i="12"/>
  <c r="DT1275" i="12"/>
  <c r="DT1276" i="12"/>
  <c r="DT1277" i="12"/>
  <c r="DT1278" i="12"/>
  <c r="DT1279" i="12"/>
  <c r="DT1280" i="12"/>
  <c r="DT1281" i="12"/>
  <c r="DT1282" i="12"/>
  <c r="DT1283" i="12"/>
  <c r="DT1284" i="12"/>
  <c r="DT1285" i="12"/>
  <c r="DT1286" i="12"/>
  <c r="DT1287" i="12"/>
  <c r="DT1288" i="12"/>
  <c r="DT1290" i="12"/>
  <c r="DT1291" i="12"/>
  <c r="G1291" i="12" s="1"/>
  <c r="DT1292" i="12"/>
  <c r="DT1293" i="12"/>
  <c r="DT1295" i="12"/>
  <c r="DT1296" i="12"/>
  <c r="DT1298" i="12"/>
  <c r="DT1299" i="12"/>
  <c r="G1299" i="12" s="1"/>
  <c r="DT1300" i="12"/>
  <c r="DT1301" i="12"/>
  <c r="DT1311" i="12"/>
  <c r="DT1312" i="12"/>
  <c r="DT1313" i="12"/>
  <c r="DT1314" i="12"/>
  <c r="G1314" i="12" s="1"/>
  <c r="G1312" i="12" s="1"/>
  <c r="DT1315" i="12"/>
  <c r="DT1316" i="12"/>
  <c r="G1316" i="12" s="1"/>
  <c r="G1315" i="12" s="1"/>
  <c r="DT1317" i="12"/>
  <c r="DT1318" i="12"/>
  <c r="DT1319" i="12"/>
  <c r="DT1320" i="12"/>
  <c r="DT1321" i="12"/>
  <c r="DT1322" i="12"/>
  <c r="DT1323" i="12"/>
  <c r="DT1324" i="12"/>
  <c r="DT1325" i="12"/>
  <c r="DT1326" i="12"/>
  <c r="DT1327" i="12"/>
  <c r="DT1328" i="12"/>
  <c r="DT1329" i="12"/>
  <c r="DT1330" i="12"/>
  <c r="DT1331" i="12"/>
  <c r="DT1332" i="12"/>
  <c r="DT1333" i="12"/>
  <c r="DT1334" i="12"/>
  <c r="DT1335" i="12"/>
  <c r="DT1336" i="12"/>
  <c r="DT1337" i="12"/>
  <c r="DT1338" i="12"/>
  <c r="DT1339" i="12"/>
  <c r="DT1340" i="12"/>
  <c r="DT1341" i="12"/>
  <c r="DT1342" i="12"/>
  <c r="DT1343" i="12"/>
  <c r="DT1344" i="12"/>
  <c r="DT1345" i="12"/>
  <c r="DT1346" i="12"/>
  <c r="DT1347" i="12"/>
  <c r="DT1348" i="12"/>
  <c r="DT1349" i="12"/>
  <c r="DT1350" i="12"/>
  <c r="DT1351" i="12"/>
  <c r="DT1352" i="12"/>
  <c r="DT1353" i="12"/>
  <c r="DT1354" i="12"/>
  <c r="DT1355" i="12"/>
  <c r="DT1356" i="12"/>
  <c r="DT1357" i="12"/>
  <c r="DT1358" i="12"/>
  <c r="DT1359" i="12"/>
  <c r="DT1360" i="12"/>
  <c r="DT1361" i="12"/>
  <c r="DT1362" i="12"/>
  <c r="DT1363" i="12"/>
  <c r="DT1364" i="12"/>
  <c r="DT1365" i="12"/>
  <c r="DT1366" i="12"/>
  <c r="DT1367" i="12"/>
  <c r="DT1368" i="12"/>
  <c r="DT1369" i="12"/>
  <c r="DT1370" i="12"/>
  <c r="DT1371" i="12"/>
  <c r="DT1372" i="12"/>
  <c r="DT1373" i="12"/>
  <c r="DT1374" i="12"/>
  <c r="DT1375" i="12"/>
  <c r="DT1376" i="12"/>
  <c r="DT1377" i="12"/>
  <c r="DT1378" i="12"/>
  <c r="DT1379" i="12"/>
  <c r="DT1380" i="12"/>
  <c r="DT1381" i="12"/>
  <c r="DT1382" i="12"/>
  <c r="DT1383" i="12"/>
  <c r="DT1384" i="12"/>
  <c r="DT1385" i="12"/>
  <c r="DT1386" i="12"/>
  <c r="DT1387" i="12"/>
  <c r="DT1388" i="12"/>
  <c r="DT1389" i="12"/>
  <c r="DT1390" i="12"/>
  <c r="DT1391" i="12"/>
  <c r="DT1392" i="12"/>
  <c r="DT1393" i="12"/>
  <c r="DT1394" i="12"/>
  <c r="DT1395" i="12"/>
  <c r="DT1396" i="12"/>
  <c r="DT1397" i="12"/>
  <c r="DT1398" i="12"/>
  <c r="DT1399" i="12"/>
  <c r="DT1400" i="12"/>
  <c r="DT1401" i="12"/>
  <c r="DT1402" i="12"/>
  <c r="DT1403" i="12"/>
  <c r="DT1404" i="12"/>
  <c r="DT1405" i="12"/>
  <c r="DT1406" i="12"/>
  <c r="DT1407" i="12"/>
  <c r="DT1408" i="12"/>
  <c r="DT1409" i="12"/>
  <c r="DT1410" i="12"/>
  <c r="DT1411" i="12"/>
  <c r="DT1412" i="12"/>
  <c r="DT1413" i="12"/>
  <c r="DT1414" i="12"/>
  <c r="DT1415" i="12"/>
  <c r="DT1416" i="12"/>
  <c r="DT1417" i="12"/>
  <c r="DT1418" i="12"/>
  <c r="DT1419" i="12"/>
  <c r="DT1420" i="12"/>
  <c r="DT1421" i="12"/>
  <c r="DT1422" i="12"/>
  <c r="DT1423" i="12"/>
  <c r="G1423" i="12" s="1"/>
  <c r="DT1424" i="12"/>
  <c r="DT1425" i="12"/>
  <c r="DT1426" i="12"/>
  <c r="DT1427" i="12"/>
  <c r="DT1428" i="12"/>
  <c r="DT1429" i="12"/>
  <c r="DT1430" i="12"/>
  <c r="DT1431" i="12"/>
  <c r="DT1432" i="12"/>
  <c r="DT1433" i="12"/>
  <c r="DT1434" i="12"/>
  <c r="DT1435" i="12"/>
  <c r="DT1436" i="12"/>
  <c r="DT1437" i="12"/>
  <c r="DT1438" i="12"/>
  <c r="DT1439" i="12"/>
  <c r="DT1440" i="12"/>
  <c r="DT1441" i="12"/>
  <c r="DT1442" i="12"/>
  <c r="DT1443" i="12"/>
  <c r="G1443" i="12" s="1"/>
  <c r="DT1444" i="12"/>
  <c r="DT1445" i="12"/>
  <c r="DT1446" i="12"/>
  <c r="DT1447" i="12"/>
  <c r="DT1448" i="12"/>
  <c r="DT1449" i="12"/>
  <c r="DT1450" i="12"/>
  <c r="DT1451" i="12"/>
  <c r="DT1452" i="12"/>
  <c r="DT1453" i="12"/>
  <c r="DT1454" i="12"/>
  <c r="DT1455" i="12"/>
  <c r="DT1456" i="12"/>
  <c r="DT1457" i="12"/>
  <c r="DT1458" i="12"/>
  <c r="DT1459" i="12"/>
  <c r="DT1460" i="12"/>
  <c r="DT1461" i="12"/>
  <c r="DT1462" i="12"/>
  <c r="DT1463" i="12"/>
  <c r="DT1464" i="12"/>
  <c r="DT1465" i="12"/>
  <c r="DT1466" i="12"/>
  <c r="DT1467" i="12"/>
  <c r="DT1468" i="12"/>
  <c r="DT1469" i="12"/>
  <c r="DT1470" i="12"/>
  <c r="DT1471" i="12"/>
  <c r="DT1472" i="12"/>
  <c r="G1472" i="12" s="1"/>
  <c r="DT1473" i="12"/>
  <c r="DT1474" i="12"/>
  <c r="DT1476" i="12"/>
  <c r="DT1477" i="12"/>
  <c r="DT1478" i="12"/>
  <c r="DT1479" i="12"/>
  <c r="DT1480" i="12"/>
  <c r="DT1481" i="12"/>
  <c r="DT1482" i="12"/>
  <c r="DT1483" i="12"/>
  <c r="DT1484" i="12"/>
  <c r="DT1485" i="12"/>
  <c r="DT1486" i="12"/>
  <c r="DT1487" i="12"/>
  <c r="DT1488" i="12"/>
  <c r="DT1489" i="12"/>
  <c r="DT1490" i="12"/>
  <c r="DT1491" i="12"/>
  <c r="DT1492" i="12"/>
  <c r="DT1493" i="12"/>
  <c r="DT1494" i="12"/>
  <c r="DT1495" i="12"/>
  <c r="DT1496" i="12"/>
  <c r="DT1497" i="12"/>
  <c r="DT1498" i="12"/>
  <c r="DT1499" i="12"/>
  <c r="DT1501" i="12"/>
  <c r="DT1502" i="12"/>
  <c r="DT1503" i="12"/>
  <c r="DT1504" i="12"/>
  <c r="DT1505" i="12"/>
  <c r="DT1506" i="12"/>
  <c r="G1506" i="12" s="1"/>
  <c r="DT1507" i="12"/>
  <c r="DT1508" i="12"/>
  <c r="DT1509" i="12"/>
  <c r="DT1510" i="12"/>
  <c r="DT1511" i="12"/>
  <c r="DT1512" i="12"/>
  <c r="DT1513" i="12"/>
  <c r="DT1514" i="12"/>
  <c r="DT1515" i="12"/>
  <c r="DT1516" i="12"/>
  <c r="DT1517" i="12"/>
  <c r="DT1518" i="12"/>
  <c r="DT1519" i="12"/>
  <c r="DT1520" i="12"/>
  <c r="DT1521" i="12"/>
  <c r="DT1522" i="12"/>
  <c r="DT1523" i="12"/>
  <c r="DT1524" i="12"/>
  <c r="DT1525" i="12"/>
  <c r="DT1526" i="12"/>
  <c r="DT1527" i="12"/>
  <c r="DT1528" i="12"/>
  <c r="DT1529" i="12"/>
  <c r="DT1530" i="12"/>
  <c r="DT1531" i="12"/>
  <c r="DT1532" i="12"/>
  <c r="DT1533" i="12"/>
  <c r="DT1534" i="12"/>
  <c r="DT1535" i="12"/>
  <c r="DT1536" i="12"/>
  <c r="DT1537" i="12"/>
  <c r="DT1539" i="12"/>
  <c r="DT1540" i="12"/>
  <c r="G1540" i="12" s="1"/>
  <c r="DT1541" i="12"/>
  <c r="DT1542" i="12"/>
  <c r="DT1543" i="12"/>
  <c r="DT1544" i="12"/>
  <c r="DT1545" i="12"/>
  <c r="DT1546" i="12"/>
  <c r="G1546" i="12" s="1"/>
  <c r="DT1547" i="12"/>
  <c r="DT1549" i="12"/>
  <c r="DT1550" i="12"/>
  <c r="DT1551" i="12"/>
  <c r="DT1552" i="12"/>
  <c r="DT1553" i="12"/>
  <c r="DT1554" i="12"/>
  <c r="DT1555" i="12"/>
  <c r="DT1556" i="12"/>
  <c r="DT1557" i="12"/>
  <c r="DT1558" i="12"/>
  <c r="DT1559" i="12"/>
  <c r="DT1560" i="12"/>
  <c r="DT1561" i="12"/>
  <c r="DT1562" i="12"/>
  <c r="DT1563" i="12"/>
  <c r="DT1564" i="12"/>
  <c r="DT1565" i="12"/>
  <c r="DT1566" i="12"/>
  <c r="DT1567" i="12"/>
  <c r="DT1568" i="12"/>
  <c r="DT1569" i="12"/>
  <c r="DT1570" i="12"/>
  <c r="DT1571" i="12"/>
  <c r="DT1572" i="12"/>
  <c r="DT1573" i="12"/>
  <c r="DT1574" i="12"/>
  <c r="DT1577" i="12"/>
  <c r="DT1578" i="12"/>
  <c r="DT1579" i="12"/>
  <c r="DT1580" i="12"/>
  <c r="DT1581" i="12"/>
  <c r="G1581" i="12" s="1"/>
  <c r="DT1582" i="12"/>
  <c r="DT1583" i="12"/>
  <c r="DT1584" i="12"/>
  <c r="DT1585" i="12"/>
  <c r="DT1586" i="12"/>
  <c r="DT1587" i="12"/>
  <c r="DT1588" i="12"/>
  <c r="G1588" i="12" s="1"/>
  <c r="DT1589" i="12"/>
  <c r="DT1590" i="12"/>
  <c r="DT9" i="12"/>
  <c r="DO525" i="12"/>
  <c r="DT525" i="12" s="1"/>
  <c r="G525" i="12" s="1"/>
  <c r="DO532" i="12"/>
  <c r="DT532" i="12" s="1"/>
  <c r="G532" i="12" s="1"/>
  <c r="DO1297" i="12"/>
  <c r="DO448" i="12"/>
  <c r="DT448" i="12" s="1"/>
  <c r="G448" i="12" s="1"/>
  <c r="DO1289" i="12"/>
  <c r="DO1538" i="12"/>
  <c r="DO1194" i="12"/>
  <c r="DO320" i="12"/>
  <c r="DT320" i="12" s="1"/>
  <c r="G320" i="12" s="1"/>
  <c r="DO291" i="12"/>
  <c r="DT291" i="12" s="1"/>
  <c r="G291" i="12" s="1"/>
  <c r="DS611" i="12" l="1"/>
  <c r="DT611" i="12" s="1"/>
  <c r="G611" i="12" s="1"/>
  <c r="DS1538" i="12"/>
  <c r="DS338" i="12"/>
  <c r="DT338" i="12" s="1"/>
  <c r="G338" i="12" s="1"/>
  <c r="DS1591" i="12"/>
  <c r="DR117" i="12" l="1"/>
  <c r="DT117" i="12" s="1"/>
  <c r="DR45" i="12"/>
  <c r="DR89" i="12"/>
  <c r="DQ657" i="12"/>
  <c r="DQ449" i="12"/>
  <c r="G92" i="12"/>
  <c r="DR1591" i="12" l="1"/>
  <c r="DQ89" i="12" l="1"/>
  <c r="DQ1591" i="12" s="1"/>
  <c r="DP1289" i="12"/>
  <c r="DT1289" i="12" s="1"/>
  <c r="G1289" i="12" s="1"/>
  <c r="DP261" i="12"/>
  <c r="DT261" i="12" s="1"/>
  <c r="G261" i="12" s="1"/>
  <c r="DP657" i="12"/>
  <c r="DT657" i="12" s="1"/>
  <c r="G657" i="12" s="1"/>
  <c r="DP1297" i="12"/>
  <c r="DT1297" i="12" s="1"/>
  <c r="G1297" i="12" s="1"/>
  <c r="DP449" i="12"/>
  <c r="DT449" i="12" s="1"/>
  <c r="G449" i="12" s="1"/>
  <c r="DP191" i="12"/>
  <c r="DT191" i="12" s="1"/>
  <c r="G191" i="12" s="1"/>
  <c r="DP89" i="12"/>
  <c r="DP45" i="12"/>
  <c r="DT45" i="12" s="1"/>
  <c r="DT89" i="12" l="1"/>
  <c r="G89" i="12" s="1"/>
  <c r="G45" i="12"/>
  <c r="DP555" i="12"/>
  <c r="DT555" i="12" s="1"/>
  <c r="DP592" i="12"/>
  <c r="DT592" i="12" s="1"/>
  <c r="G592" i="12" s="1"/>
  <c r="DP526" i="12"/>
  <c r="DT526" i="12" s="1"/>
  <c r="G526" i="12" s="1"/>
  <c r="DP1194" i="12"/>
  <c r="DT1194" i="12" s="1"/>
  <c r="G1194" i="12" s="1"/>
  <c r="DP1190" i="12"/>
  <c r="DT1190" i="12" s="1"/>
  <c r="G1190" i="12" s="1"/>
  <c r="DP1538" i="12"/>
  <c r="DT1538" i="12" s="1"/>
  <c r="G1538" i="12" s="1"/>
  <c r="DP90" i="12" l="1"/>
  <c r="DT90" i="12" s="1"/>
  <c r="G90" i="12" s="1"/>
  <c r="DP1591" i="12" l="1"/>
  <c r="DO1591" i="12"/>
  <c r="D535" i="13"/>
  <c r="D534" i="13" s="1"/>
  <c r="D537" i="13"/>
  <c r="D536" i="13" s="1"/>
  <c r="G745" i="12"/>
  <c r="G743" i="12"/>
  <c r="DN166" i="12"/>
  <c r="DT166" i="12" s="1"/>
  <c r="G166" i="12" l="1"/>
  <c r="D153" i="13" s="1"/>
  <c r="D152" i="13" s="1"/>
  <c r="DN1548" i="12"/>
  <c r="DT1548" i="12" s="1"/>
  <c r="DN1294" i="12"/>
  <c r="DT1294" i="12" s="1"/>
  <c r="G1294" i="12" s="1"/>
  <c r="D249" i="13" s="1"/>
  <c r="D248" i="13" s="1"/>
  <c r="DN1500" i="12"/>
  <c r="DT1500" i="12" s="1"/>
  <c r="G1500" i="12" s="1"/>
  <c r="DN750" i="12"/>
  <c r="DT750" i="12" s="1"/>
  <c r="G750" i="12" s="1"/>
  <c r="DN472" i="12"/>
  <c r="DT472" i="12" s="1"/>
  <c r="G472" i="12" s="1"/>
  <c r="DN1475" i="12"/>
  <c r="DT1475" i="12" s="1"/>
  <c r="G1475" i="12" s="1"/>
  <c r="DN70" i="12"/>
  <c r="DT70" i="12" s="1"/>
  <c r="DN367" i="12"/>
  <c r="DT367" i="12" s="1"/>
  <c r="G367" i="12" s="1"/>
  <c r="DN377" i="12"/>
  <c r="DT377" i="12" s="1"/>
  <c r="G377" i="12" s="1"/>
  <c r="DN519" i="12"/>
  <c r="DT519" i="12" s="1"/>
  <c r="G519" i="12" s="1"/>
  <c r="DN1591" i="12" l="1"/>
  <c r="G1548" i="12"/>
  <c r="D364" i="13" s="1"/>
  <c r="D363" i="13" s="1"/>
  <c r="G165" i="12"/>
  <c r="G1293" i="12"/>
  <c r="G70" i="12"/>
  <c r="DT1591" i="12"/>
  <c r="D961" i="13"/>
  <c r="D960" i="13" s="1"/>
  <c r="G1547" i="12" l="1"/>
  <c r="DM1591" i="12"/>
  <c r="DL1591" i="12" l="1"/>
  <c r="DK1591" i="12"/>
  <c r="DJ1591" i="12" l="1"/>
  <c r="DJ526" i="12"/>
  <c r="D977" i="13"/>
  <c r="D976" i="13" s="1"/>
  <c r="G930" i="12"/>
  <c r="G926" i="12" l="1"/>
  <c r="G143" i="12" l="1"/>
  <c r="G659" i="12" l="1"/>
  <c r="D878" i="13"/>
  <c r="D481" i="13"/>
  <c r="D206" i="13" l="1"/>
  <c r="D203" i="13"/>
  <c r="G263" i="12"/>
  <c r="DI50" i="12"/>
  <c r="DI192" i="12"/>
  <c r="DI91" i="12"/>
  <c r="DI1591" i="12" l="1"/>
  <c r="DH1000" i="12" l="1"/>
  <c r="DH1591" i="12" s="1"/>
  <c r="DC592" i="12" l="1"/>
  <c r="DC1445" i="12"/>
  <c r="DF89" i="12" l="1"/>
  <c r="DF45" i="12"/>
  <c r="G966" i="12" l="1"/>
  <c r="G965" i="12" s="1"/>
  <c r="DG1591" i="12"/>
  <c r="DF611" i="12"/>
  <c r="DF1000" i="12" l="1"/>
  <c r="DF1538" i="12"/>
  <c r="DF449" i="12"/>
  <c r="DF1591" i="12"/>
  <c r="D378" i="13" l="1"/>
  <c r="DE1591" i="12"/>
  <c r="D377" i="13" l="1"/>
  <c r="G1532" i="12"/>
  <c r="G1531" i="12" s="1"/>
  <c r="G1530" i="12" s="1"/>
  <c r="DC1000" i="12"/>
  <c r="DC615" i="12"/>
  <c r="G82" i="12"/>
  <c r="DD649" i="12"/>
  <c r="DD1591" i="12"/>
  <c r="DC90" i="12"/>
  <c r="DC45" i="12"/>
  <c r="DC1591" i="12" l="1"/>
  <c r="D130" i="13"/>
  <c r="D129" i="13" s="1"/>
  <c r="DB1591" i="12"/>
  <c r="G81" i="12"/>
  <c r="DB377" i="12"/>
  <c r="CZ954" i="12"/>
  <c r="DA1265" i="12"/>
  <c r="DA1263" i="12"/>
  <c r="DA1591" i="12" l="1"/>
  <c r="CZ1000" i="12" l="1"/>
  <c r="CZ731" i="12"/>
  <c r="CZ89" i="12"/>
  <c r="CZ45" i="12"/>
  <c r="CZ1591" i="12" s="1"/>
  <c r="CY611" i="12" l="1"/>
  <c r="D504" i="13"/>
  <c r="CY177" i="12"/>
  <c r="CY49" i="12"/>
  <c r="D447" i="13" l="1"/>
  <c r="D446" i="13" s="1"/>
  <c r="D445" i="13" s="1"/>
  <c r="G1282" i="12"/>
  <c r="G1281" i="12" s="1"/>
  <c r="G1280" i="12" s="1"/>
  <c r="CY1000" i="12"/>
  <c r="CY89" i="12"/>
  <c r="CY338" i="12" l="1"/>
  <c r="CY90" i="12"/>
  <c r="CY45" i="12"/>
  <c r="CY1591" i="12" s="1"/>
  <c r="CX915" i="12" l="1"/>
  <c r="CX592" i="12"/>
  <c r="CX44" i="12"/>
  <c r="G1478" i="12" l="1"/>
  <c r="CX1591" i="12"/>
  <c r="CX886" i="12"/>
  <c r="CX956" i="12"/>
  <c r="CX1000" i="12"/>
  <c r="D443" i="13" l="1"/>
  <c r="D442" i="13" s="1"/>
  <c r="G1290" i="12" l="1"/>
  <c r="D817" i="13" l="1"/>
  <c r="D816" i="13" s="1"/>
  <c r="D794" i="13"/>
  <c r="D793" i="13" s="1"/>
  <c r="CW1591" i="12"/>
  <c r="CV525" i="12"/>
  <c r="CV1591" i="12" s="1"/>
  <c r="D293" i="13"/>
  <c r="G1012" i="12"/>
  <c r="CV727" i="12"/>
  <c r="CV1000" i="12"/>
  <c r="G834" i="12" l="1"/>
  <c r="D568" i="13"/>
  <c r="G936" i="12"/>
  <c r="G935" i="12" s="1"/>
  <c r="D417" i="13" l="1"/>
  <c r="G368" i="12"/>
  <c r="G1412" i="12" l="1"/>
  <c r="D637" i="13"/>
  <c r="D745" i="13"/>
  <c r="D744" i="13" s="1"/>
  <c r="D749" i="13"/>
  <c r="D748" i="13" s="1"/>
  <c r="D639" i="13"/>
  <c r="D635" i="13"/>
  <c r="D633" i="13"/>
  <c r="D747" i="13"/>
  <c r="D746" i="13" s="1"/>
  <c r="D743" i="13"/>
  <c r="D741" i="13"/>
  <c r="G1564" i="12"/>
  <c r="G1573" i="12"/>
  <c r="G1571" i="12"/>
  <c r="D631" i="13"/>
  <c r="D629" i="13"/>
  <c r="D739" i="13"/>
  <c r="G1047" i="12"/>
  <c r="D627" i="13"/>
  <c r="D625" i="13"/>
  <c r="D623" i="13"/>
  <c r="D621" i="13"/>
  <c r="D619" i="13"/>
  <c r="D617" i="13"/>
  <c r="D615" i="13"/>
  <c r="D613" i="13"/>
  <c r="D611" i="13"/>
  <c r="D609" i="13"/>
  <c r="D735" i="13"/>
  <c r="D733" i="13"/>
  <c r="D731" i="13"/>
  <c r="D729" i="13"/>
  <c r="D727" i="13"/>
  <c r="D725" i="13"/>
  <c r="D723" i="13"/>
  <c r="D721" i="13"/>
  <c r="D719" i="13"/>
  <c r="D716" i="13"/>
  <c r="G855" i="12"/>
  <c r="G853" i="12"/>
  <c r="CU611" i="12"/>
  <c r="CU886" i="12"/>
  <c r="CU1000" i="12"/>
  <c r="CU915" i="12"/>
  <c r="D427" i="13"/>
  <c r="CU89" i="12"/>
  <c r="CU45" i="12"/>
  <c r="D693" i="13"/>
  <c r="D689" i="13"/>
  <c r="D687" i="13"/>
  <c r="D691" i="13"/>
  <c r="D695" i="13"/>
  <c r="D685" i="13"/>
  <c r="D683" i="13"/>
  <c r="D563" i="13" l="1"/>
  <c r="G1556" i="12"/>
  <c r="G1562" i="12"/>
  <c r="D641" i="13"/>
  <c r="D737" i="13"/>
  <c r="D681" i="13"/>
  <c r="D679" i="13"/>
  <c r="D677" i="13"/>
  <c r="D675" i="13"/>
  <c r="D673" i="13"/>
  <c r="D671" i="13"/>
  <c r="D669" i="13"/>
  <c r="D667" i="13"/>
  <c r="D665" i="13"/>
  <c r="D663" i="13"/>
  <c r="G1416" i="12" l="1"/>
  <c r="D138" i="13"/>
  <c r="CU1591" i="12"/>
  <c r="CT1591" i="12"/>
  <c r="D139" i="13"/>
  <c r="D324" i="13" l="1"/>
  <c r="D323" i="13" s="1"/>
  <c r="D362" i="13" l="1"/>
  <c r="D361" i="13" s="1"/>
  <c r="G1528" i="12"/>
  <c r="G1509" i="12" l="1"/>
  <c r="G1508" i="12" s="1"/>
  <c r="D531" i="13"/>
  <c r="D530" i="13" s="1"/>
  <c r="D533" i="13"/>
  <c r="D532" i="13" s="1"/>
  <c r="G739" i="12"/>
  <c r="G741" i="12"/>
  <c r="D588" i="13"/>
  <c r="D587" i="13" s="1"/>
  <c r="D590" i="13"/>
  <c r="D589" i="13" s="1"/>
  <c r="G1106" i="12"/>
  <c r="G1104" i="12"/>
  <c r="D602" i="13"/>
  <c r="D600" i="13"/>
  <c r="CR611" i="12" l="1"/>
  <c r="CS592" i="12" l="1"/>
  <c r="CR733" i="12"/>
  <c r="G732" i="12" l="1"/>
  <c r="G730" i="12"/>
  <c r="CS392" i="12"/>
  <c r="G375" i="12"/>
  <c r="CS1588" i="12"/>
  <c r="CS1297" i="12"/>
  <c r="CS1289" i="12"/>
  <c r="CS89" i="12"/>
  <c r="CS1538" i="12"/>
  <c r="CS1190" i="12"/>
  <c r="CS1194" i="12"/>
  <c r="CS45" i="12"/>
  <c r="CS261" i="12"/>
  <c r="CS191" i="12"/>
  <c r="CS302" i="12"/>
  <c r="CS291" i="12"/>
  <c r="CS449" i="12"/>
  <c r="CS393" i="12"/>
  <c r="CS657" i="12"/>
  <c r="CS555" i="12"/>
  <c r="CS650" i="12"/>
  <c r="CS526" i="12"/>
  <c r="G259" i="12" l="1"/>
  <c r="G1288" i="12"/>
  <c r="G1287" i="12" s="1"/>
  <c r="G189" i="12"/>
  <c r="CS292" i="12"/>
  <c r="CR592" i="12"/>
  <c r="CS90" i="12"/>
  <c r="CS1591" i="12" s="1"/>
  <c r="CR338" i="12"/>
  <c r="D980" i="13" l="1"/>
  <c r="D979" i="13" s="1"/>
  <c r="D978" i="13" s="1"/>
  <c r="G693" i="12"/>
  <c r="G692" i="12" s="1"/>
  <c r="CR587" i="12"/>
  <c r="CR1143" i="12"/>
  <c r="G1142" i="12" s="1"/>
  <c r="CR667" i="12"/>
  <c r="CR526" i="12"/>
  <c r="CR1000" i="12"/>
  <c r="D591" i="13"/>
  <c r="D518" i="13" l="1"/>
  <c r="D517" i="13" s="1"/>
  <c r="D520" i="13"/>
  <c r="D519" i="13" s="1"/>
  <c r="CR727" i="12"/>
  <c r="D516" i="13" l="1"/>
  <c r="CR1591" i="12"/>
  <c r="CQ1500" i="12"/>
  <c r="CQ171" i="12"/>
  <c r="CQ153" i="12"/>
  <c r="CQ1114" i="12"/>
  <c r="CQ472" i="12"/>
  <c r="CQ70" i="12" l="1"/>
  <c r="CQ1591" i="12" l="1"/>
  <c r="CS1592" i="12" s="1"/>
  <c r="D136" i="13"/>
  <c r="D135" i="13"/>
  <c r="D134" i="13" l="1"/>
  <c r="D927" i="13"/>
  <c r="D926" i="13" s="1"/>
  <c r="G535" i="12"/>
  <c r="G504" i="12"/>
  <c r="G400" i="12"/>
  <c r="G36" i="12"/>
  <c r="CP525" i="12"/>
  <c r="CP1000" i="12"/>
  <c r="CP1314" i="12"/>
  <c r="CP117" i="12"/>
  <c r="CP338" i="12"/>
  <c r="CP302" i="12"/>
  <c r="CP261" i="12"/>
  <c r="CO1591" i="12"/>
  <c r="D67" i="13"/>
  <c r="D66" i="13" s="1"/>
  <c r="G325" i="12"/>
  <c r="G319" i="12" s="1"/>
  <c r="CP1591" i="12" l="1"/>
  <c r="G115" i="12"/>
  <c r="D76" i="13"/>
  <c r="G146" i="12" l="1"/>
  <c r="CK1591" i="12"/>
  <c r="CL47" i="12"/>
  <c r="CL265" i="12"/>
  <c r="D137" i="13"/>
  <c r="CL1591" i="12" l="1"/>
  <c r="D811" i="13"/>
  <c r="G714" i="12"/>
  <c r="D79" i="13"/>
  <c r="CJ44" i="12"/>
  <c r="CJ611" i="12"/>
  <c r="CJ721" i="12"/>
  <c r="CJ1000" i="12"/>
  <c r="CJ89" i="12"/>
  <c r="CJ45" i="12"/>
  <c r="CJ1591" i="12" l="1"/>
  <c r="CI1591" i="12"/>
  <c r="D415" i="13"/>
  <c r="D416" i="13"/>
  <c r="D418" i="13"/>
  <c r="D414" i="13" l="1"/>
  <c r="CH611" i="12"/>
  <c r="CH1000" i="12" l="1"/>
  <c r="CH89" i="12"/>
  <c r="CH45" i="12"/>
  <c r="CH1591" i="12" s="1"/>
  <c r="D147" i="13"/>
  <c r="D146" i="13" s="1"/>
  <c r="G74" i="12"/>
  <c r="D255" i="13" l="1"/>
  <c r="D343" i="13"/>
  <c r="D342" i="13" s="1"/>
  <c r="G492" i="12"/>
  <c r="G491" i="12" s="1"/>
  <c r="CG45" i="12"/>
  <c r="CG1591" i="12" s="1"/>
  <c r="CF614" i="12" l="1"/>
  <c r="CF615" i="12"/>
  <c r="D610" i="13" l="1"/>
  <c r="G1067" i="12"/>
  <c r="D664" i="13"/>
  <c r="D612" i="13"/>
  <c r="D792" i="13"/>
  <c r="D791" i="13" s="1"/>
  <c r="D666" i="13"/>
  <c r="G267" i="12"/>
  <c r="G266" i="12" s="1"/>
  <c r="D401" i="13"/>
  <c r="G832" i="12"/>
  <c r="CF1000" i="12"/>
  <c r="CF338" i="12"/>
  <c r="CF1591" i="12" s="1"/>
  <c r="D402" i="13"/>
  <c r="CE1591" i="12"/>
  <c r="G1044" i="12"/>
  <c r="D790" i="13" l="1"/>
  <c r="D789" i="13" s="1"/>
  <c r="G1102" i="12"/>
  <c r="G864" i="12"/>
  <c r="G812" i="12"/>
  <c r="G176" i="12"/>
  <c r="G175" i="12" s="1"/>
  <c r="G174" i="12" s="1"/>
  <c r="G173" i="12" s="1"/>
  <c r="G1244" i="12"/>
  <c r="G756" i="12" l="1"/>
  <c r="G754" i="12"/>
  <c r="D65" i="13" l="1"/>
  <c r="CD1591" i="12"/>
  <c r="CD615" i="12"/>
  <c r="G1278" i="12"/>
  <c r="CD1000" i="12"/>
  <c r="CD1538" i="12"/>
  <c r="CD1314" i="12"/>
  <c r="D455" i="13" l="1"/>
  <c r="G1444" i="12"/>
  <c r="G440" i="12"/>
  <c r="G438" i="12"/>
  <c r="CC1591" i="12"/>
  <c r="D190" i="13"/>
  <c r="D189" i="13" s="1"/>
  <c r="G437" i="12" l="1"/>
  <c r="G436" i="12" s="1"/>
  <c r="G435" i="12" s="1"/>
  <c r="D192" i="13"/>
  <c r="D191" i="13" s="1"/>
  <c r="D925" i="13"/>
  <c r="D924" i="13" s="1"/>
  <c r="G605" i="12"/>
  <c r="G1402" i="12" l="1"/>
  <c r="G1414" i="12"/>
  <c r="G1408" i="12"/>
  <c r="D655" i="13"/>
  <c r="D654" i="13" s="1"/>
  <c r="D653" i="13"/>
  <c r="D652" i="13" s="1"/>
  <c r="D784" i="13"/>
  <c r="D783" i="13" s="1"/>
  <c r="G1063" i="12"/>
  <c r="G1042" i="12"/>
  <c r="G1040" i="12"/>
  <c r="G862" i="12"/>
  <c r="D788" i="13"/>
  <c r="D787" i="13" s="1"/>
  <c r="D713" i="13"/>
  <c r="D712" i="13" s="1"/>
  <c r="D238" i="13"/>
  <c r="D237" i="13" s="1"/>
  <c r="G830" i="12"/>
  <c r="G1098" i="12"/>
  <c r="G1100" i="12"/>
  <c r="CB1000" i="12"/>
  <c r="CB261" i="12"/>
  <c r="CB89" i="12"/>
  <c r="CB45" i="12"/>
  <c r="CA1591" i="12"/>
  <c r="G810" i="12"/>
  <c r="D707" i="13" l="1"/>
  <c r="D706" i="13" s="1"/>
  <c r="D711" i="13"/>
  <c r="D710" i="13" s="1"/>
  <c r="D782" i="13"/>
  <c r="D781" i="13" s="1"/>
  <c r="D659" i="13"/>
  <c r="D658" i="13" s="1"/>
  <c r="CB1591" i="12"/>
  <c r="D657" i="13"/>
  <c r="D656" i="13" s="1"/>
  <c r="D786" i="13"/>
  <c r="D785" i="13" s="1"/>
  <c r="G1065" i="12"/>
  <c r="D709" i="13"/>
  <c r="D708" i="13" s="1"/>
  <c r="G284" i="12"/>
  <c r="D832" i="13" l="1"/>
  <c r="D831" i="13" s="1"/>
  <c r="G1121" i="12"/>
  <c r="D341" i="13"/>
  <c r="D340" i="13" s="1"/>
  <c r="D339" i="13" s="1"/>
  <c r="D338" i="13" s="1"/>
  <c r="G79" i="12" l="1"/>
  <c r="BY1591" i="12"/>
  <c r="BX526" i="12"/>
  <c r="BX1000" i="12"/>
  <c r="BX44" i="12"/>
  <c r="BX1591" i="12" l="1"/>
  <c r="G77" i="12"/>
  <c r="G76" i="12" s="1"/>
  <c r="D780" i="13" l="1"/>
  <c r="D779" i="13" s="1"/>
  <c r="D697" i="13"/>
  <c r="G1406" i="12"/>
  <c r="G1400" i="12"/>
  <c r="G1410" i="12"/>
  <c r="G1404" i="12"/>
  <c r="G1398" i="12"/>
  <c r="G1211" i="12"/>
  <c r="G1210" i="12" s="1"/>
  <c r="G1213" i="12"/>
  <c r="G1215" i="12"/>
  <c r="G1222" i="12"/>
  <c r="G1221" i="12" s="1"/>
  <c r="G1220" i="12" s="1"/>
  <c r="G1219" i="12" s="1"/>
  <c r="G1218" i="12" s="1"/>
  <c r="G1226" i="12"/>
  <c r="G1225" i="12" s="1"/>
  <c r="G1224" i="12" s="1"/>
  <c r="G851" i="12"/>
  <c r="G828" i="12"/>
  <c r="G808" i="12"/>
  <c r="D728" i="13"/>
  <c r="G1397" i="12" l="1"/>
  <c r="G1396" i="12" s="1"/>
  <c r="G1209" i="12"/>
  <c r="G1022" i="12"/>
  <c r="G1020" i="12"/>
  <c r="G1019" i="12" s="1"/>
  <c r="G1018" i="12" s="1"/>
  <c r="G1017" i="12"/>
  <c r="G775" i="12"/>
  <c r="G773" i="12"/>
  <c r="G770" i="12"/>
  <c r="D511" i="13"/>
  <c r="D510" i="13" s="1"/>
  <c r="D97" i="13"/>
  <c r="D94" i="13"/>
  <c r="G670" i="12" l="1"/>
  <c r="BU727" i="12"/>
  <c r="BU1591" i="12"/>
  <c r="D507" i="13"/>
  <c r="G1394" i="12"/>
  <c r="D337" i="13"/>
  <c r="D336" i="13" s="1"/>
  <c r="D411" i="13"/>
  <c r="D222" i="13"/>
  <c r="BT1591" i="12" l="1"/>
  <c r="D458" i="13"/>
  <c r="G1442" i="12"/>
  <c r="G1441" i="12" s="1"/>
  <c r="G1424" i="12" s="1"/>
  <c r="D509" i="13"/>
  <c r="D508" i="13" s="1"/>
  <c r="G668" i="12"/>
  <c r="D335" i="13"/>
  <c r="D334" i="13" s="1"/>
  <c r="G1392" i="12"/>
  <c r="D830" i="13" l="1"/>
  <c r="D829" i="13" s="1"/>
  <c r="G1119" i="12"/>
  <c r="G473" i="12" l="1"/>
  <c r="BM45" i="12"/>
  <c r="BM261" i="12"/>
  <c r="BM88" i="12"/>
  <c r="BM44" i="12"/>
  <c r="BM393" i="12"/>
  <c r="BM89" i="12"/>
  <c r="BM91" i="12"/>
  <c r="D871" i="13" l="1"/>
  <c r="BM90" i="12"/>
  <c r="BM1297" i="12"/>
  <c r="BM1591" i="12"/>
  <c r="BN1000" i="12" l="1"/>
  <c r="BP1591" i="12"/>
  <c r="D462" i="13"/>
  <c r="G1499" i="12"/>
  <c r="BO1114" i="12"/>
  <c r="D235" i="13"/>
  <c r="D234" i="13" s="1"/>
  <c r="D233" i="13" s="1"/>
  <c r="G1207" i="12"/>
  <c r="G1206" i="12" s="1"/>
  <c r="G1205" i="12" s="1"/>
  <c r="D461" i="13" l="1"/>
  <c r="D449" i="13"/>
  <c r="D448" i="13" s="1"/>
  <c r="D444" i="13" s="1"/>
  <c r="BO1591" i="12"/>
  <c r="BN1126" i="12"/>
  <c r="BN338" i="12"/>
  <c r="BN1314" i="12"/>
  <c r="BN1143" i="12"/>
  <c r="BN727" i="12" l="1"/>
  <c r="BN1591" i="12" l="1"/>
  <c r="G690" i="12"/>
  <c r="BQ1591" i="12" l="1"/>
  <c r="BQ1" i="12"/>
  <c r="G686" i="12"/>
  <c r="BL1000" i="12"/>
  <c r="BL1485" i="12"/>
  <c r="BL89" i="12"/>
  <c r="BL244" i="12"/>
  <c r="BL45" i="12"/>
  <c r="BL1591" i="12" l="1"/>
  <c r="BK1000" i="12"/>
  <c r="G396" i="12" l="1"/>
  <c r="BK45" i="12"/>
  <c r="D815" i="13" l="1"/>
  <c r="D814" i="13" s="1"/>
  <c r="G959" i="12"/>
  <c r="BK153" i="12" l="1"/>
  <c r="BK1591" i="12" s="1"/>
  <c r="BJ614" i="12" l="1"/>
  <c r="BJ615" i="12"/>
  <c r="BJ1000" i="12"/>
  <c r="BJ89" i="12"/>
  <c r="BJ321" i="12"/>
  <c r="BJ88" i="12"/>
  <c r="BJ1591" i="12" l="1"/>
  <c r="D586" i="13"/>
  <c r="D585" i="13" s="1"/>
  <c r="G1005" i="12"/>
  <c r="D506" i="13" l="1"/>
  <c r="D505" i="13" s="1"/>
  <c r="BH526" i="12"/>
  <c r="BH615" i="12"/>
  <c r="BH1000" i="12"/>
  <c r="BH60" i="12"/>
  <c r="BH1581" i="12"/>
  <c r="G666" i="12" l="1"/>
  <c r="BH1591" i="12"/>
  <c r="BI1591" i="12"/>
  <c r="G1481" i="12"/>
  <c r="D454" i="13"/>
  <c r="D109" i="13"/>
  <c r="BG1591" i="12"/>
  <c r="D813" i="13"/>
  <c r="D812" i="13" s="1"/>
  <c r="G957" i="12"/>
  <c r="G405" i="12" l="1"/>
  <c r="G1384" i="12" l="1"/>
  <c r="D573" i="13" l="1"/>
  <c r="G1580" i="12"/>
  <c r="G1523" i="12"/>
  <c r="G1391" i="12"/>
  <c r="G1148" i="12"/>
  <c r="G415" i="12"/>
  <c r="BD338" i="12"/>
  <c r="BB1591" i="12"/>
  <c r="BE1423" i="12" l="1"/>
  <c r="BE566" i="12"/>
  <c r="D299" i="13"/>
  <c r="BE1591" i="12"/>
  <c r="D485" i="13"/>
  <c r="D484" i="13" s="1"/>
  <c r="D487" i="13"/>
  <c r="D486" i="13" s="1"/>
  <c r="G688" i="12"/>
  <c r="G685" i="12"/>
  <c r="G684" i="12" s="1"/>
  <c r="G940" i="12"/>
  <c r="D522" i="13"/>
  <c r="D521" i="13" s="1"/>
  <c r="G728" i="12"/>
  <c r="BD1591" i="12"/>
  <c r="D457" i="13"/>
  <c r="G1484" i="12"/>
  <c r="G928" i="12" l="1"/>
  <c r="D967" i="13"/>
  <c r="D966" i="13" s="1"/>
  <c r="D965" i="13"/>
  <c r="D964" i="13" s="1"/>
  <c r="BC1591" i="12"/>
  <c r="BF1591" i="12" s="1"/>
  <c r="G920" i="12" l="1"/>
  <c r="G922" i="12"/>
  <c r="D808" i="13"/>
  <c r="D807" i="13" s="1"/>
  <c r="D810" i="13"/>
  <c r="D809" i="13" s="1"/>
  <c r="G953" i="12"/>
  <c r="G951" i="12"/>
  <c r="G950" i="12" l="1"/>
  <c r="G281" i="12"/>
  <c r="D221" i="13"/>
  <c r="D220" i="13" s="1"/>
  <c r="G1579" i="12" l="1"/>
  <c r="G1578" i="12" s="1"/>
  <c r="G1577" i="12" s="1"/>
  <c r="D909" i="13" l="1"/>
  <c r="G1087" i="12"/>
  <c r="G1038" i="12"/>
  <c r="D524" i="13"/>
  <c r="BA1591" i="12"/>
  <c r="D651" i="13"/>
  <c r="D650" i="13" s="1"/>
  <c r="D705" i="13" l="1"/>
  <c r="D704" i="13" s="1"/>
  <c r="G1061" i="12"/>
  <c r="AZ1591" i="12"/>
  <c r="AZ1000" i="12"/>
  <c r="AY1591" i="12" l="1"/>
  <c r="D957" i="13" l="1"/>
  <c r="D959" i="13"/>
  <c r="G896" i="12"/>
  <c r="AX255" i="12" l="1"/>
  <c r="AX252" i="12"/>
  <c r="D181" i="13" l="1"/>
  <c r="D180" i="13"/>
  <c r="G26" i="12"/>
  <c r="AX1591" i="12"/>
  <c r="AX1000" i="12"/>
  <c r="AX1265" i="12"/>
  <c r="AX1263" i="12"/>
  <c r="G1262" i="12" s="1"/>
  <c r="G241" i="12" l="1"/>
  <c r="G1260" i="12"/>
  <c r="G1249" i="12" s="1"/>
  <c r="D179" i="13"/>
  <c r="G279" i="12"/>
  <c r="D174" i="13"/>
  <c r="D21" i="13"/>
  <c r="AW1591" i="12"/>
  <c r="D649" i="13" l="1"/>
  <c r="D648" i="13" s="1"/>
  <c r="G1085" i="12"/>
  <c r="D742" i="13"/>
  <c r="G1059" i="12"/>
  <c r="D703" i="13"/>
  <c r="D702" i="13" s="1"/>
  <c r="G1036" i="12"/>
  <c r="AV45" i="12" l="1"/>
  <c r="G991" i="12"/>
  <c r="G990" i="12" s="1"/>
  <c r="AV915" i="12"/>
  <c r="AV611" i="12"/>
  <c r="AV501" i="12"/>
  <c r="AV1000" i="12"/>
  <c r="AV1314" i="12"/>
  <c r="G332" i="12" l="1"/>
  <c r="AV1591" i="12"/>
  <c r="D318" i="13"/>
  <c r="D317" i="13" s="1"/>
  <c r="D165" i="13" l="1"/>
  <c r="G1522" i="12" l="1"/>
  <c r="G1521" i="12" s="1"/>
  <c r="D370" i="13"/>
  <c r="D369" i="13" l="1"/>
  <c r="D368" i="13" s="1"/>
  <c r="D740" i="13" l="1"/>
  <c r="D936" i="13"/>
  <c r="D935" i="13"/>
  <c r="AS45" i="12"/>
  <c r="AT1591" i="12"/>
  <c r="AS526" i="12"/>
  <c r="AS1000" i="12"/>
  <c r="AS727" i="12"/>
  <c r="D690" i="13"/>
  <c r="D636" i="13"/>
  <c r="AS1591" i="12" l="1"/>
  <c r="AR1591" i="12"/>
  <c r="G1117" i="12"/>
  <c r="D828" i="13" l="1"/>
  <c r="D827" i="13" s="1"/>
  <c r="G880" i="12" l="1"/>
  <c r="G879" i="12" s="1"/>
  <c r="G878" i="12" s="1"/>
  <c r="G867" i="12" s="1"/>
  <c r="D836" i="13" l="1"/>
  <c r="D778" i="13"/>
  <c r="D777" i="13" s="1"/>
  <c r="G1092" i="12"/>
  <c r="D736" i="13"/>
  <c r="D738" i="13"/>
  <c r="G1023" i="12"/>
  <c r="D98" i="13"/>
  <c r="D606" i="13" l="1"/>
  <c r="G1379" i="12"/>
  <c r="G1378" i="12" s="1"/>
  <c r="AQ1591" i="12"/>
  <c r="D758" i="13"/>
  <c r="D757" i="13" s="1"/>
  <c r="D756" i="13"/>
  <c r="D755" i="13" s="1"/>
  <c r="D754" i="13"/>
  <c r="D753" i="13" s="1"/>
  <c r="D752" i="13"/>
  <c r="D751" i="13" s="1"/>
  <c r="G1096" i="12"/>
  <c r="G1094" i="12"/>
  <c r="G1090" i="12"/>
  <c r="D839" i="13"/>
  <c r="D838" i="13" s="1"/>
  <c r="G1135" i="12"/>
  <c r="G1373" i="12"/>
  <c r="G1057" i="12"/>
  <c r="G1376" i="12"/>
  <c r="G1375" i="12" s="1"/>
  <c r="G1083" i="12"/>
  <c r="G1069" i="12" s="1"/>
  <c r="G1526" i="12"/>
  <c r="D376" i="13"/>
  <c r="D375" i="13" s="1"/>
  <c r="D750" i="13" l="1"/>
  <c r="G1089" i="12"/>
  <c r="D95" i="13" l="1"/>
  <c r="AP1591" i="12"/>
  <c r="G1390" i="12" l="1"/>
  <c r="G1389" i="12" s="1"/>
  <c r="G1388" i="12" s="1"/>
  <c r="G1387" i="12" s="1"/>
  <c r="G1386" i="12" s="1"/>
  <c r="F50" i="14" s="1"/>
  <c r="F49" i="14" s="1"/>
  <c r="D572" i="13"/>
  <c r="G1385" i="12" l="1"/>
  <c r="D483" i="13"/>
  <c r="D482" i="13" s="1"/>
  <c r="G664" i="12"/>
  <c r="G655" i="12" s="1"/>
  <c r="D470" i="13"/>
  <c r="G651" i="12"/>
  <c r="D42" i="13"/>
  <c r="D41" i="13" s="1"/>
  <c r="G1191" i="12"/>
  <c r="G1371" i="12"/>
  <c r="G1370" i="12" s="1"/>
  <c r="G1369" i="12" s="1"/>
  <c r="G1034" i="12"/>
  <c r="G1368" i="12" l="1"/>
  <c r="D374" i="13"/>
  <c r="D373" i="13" s="1"/>
  <c r="G1524" i="12"/>
  <c r="D62" i="13"/>
  <c r="G322" i="12"/>
  <c r="G1520" i="12" l="1"/>
  <c r="D320" i="13"/>
  <c r="D319" i="13" s="1"/>
  <c r="G1055" i="12"/>
  <c r="G963" i="12"/>
  <c r="G962" i="12" s="1"/>
  <c r="G961" i="12" s="1"/>
  <c r="D933" i="13"/>
  <c r="G104" i="12"/>
  <c r="G101" i="12"/>
  <c r="D29" i="13"/>
  <c r="G972" i="12"/>
  <c r="G971" i="12" s="1"/>
  <c r="G974" i="12"/>
  <c r="G980" i="12"/>
  <c r="G979" i="12" s="1"/>
  <c r="G978" i="12" s="1"/>
  <c r="G977" i="12" s="1"/>
  <c r="G976" i="12" s="1"/>
  <c r="G985" i="12"/>
  <c r="G984" i="12" s="1"/>
  <c r="G983" i="12" s="1"/>
  <c r="G982" i="12" s="1"/>
  <c r="G981" i="12" s="1"/>
  <c r="AN44" i="12"/>
  <c r="AN90" i="12"/>
  <c r="G1383" i="12" l="1"/>
  <c r="G1382" i="12" s="1"/>
  <c r="G1381" i="12" s="1"/>
  <c r="AN1591" i="12"/>
  <c r="G970" i="12"/>
  <c r="G969" i="12" s="1"/>
  <c r="AO1591" i="12"/>
  <c r="D330" i="13"/>
  <c r="D329" i="13" s="1"/>
  <c r="D328" i="13" s="1"/>
  <c r="G1363" i="12"/>
  <c r="G1362" i="12" s="1"/>
  <c r="D333" i="13"/>
  <c r="D332" i="13" s="1"/>
  <c r="D331" i="13" s="1"/>
  <c r="G1366" i="12"/>
  <c r="G1365" i="12" s="1"/>
  <c r="D151" i="13"/>
  <c r="D150" i="13" s="1"/>
  <c r="D149" i="13" s="1"/>
  <c r="D148" i="13" s="1"/>
  <c r="G163" i="12"/>
  <c r="G162" i="12" s="1"/>
  <c r="G161" i="12" s="1"/>
  <c r="D93" i="13"/>
  <c r="D96" i="13"/>
  <c r="G66" i="12"/>
  <c r="G64" i="12"/>
  <c r="G63" i="12" s="1"/>
  <c r="D197" i="13"/>
  <c r="D198" i="13"/>
  <c r="G170" i="12"/>
  <c r="G169" i="12" s="1"/>
  <c r="G168" i="12" s="1"/>
  <c r="G167" i="12" s="1"/>
  <c r="D92" i="13" l="1"/>
  <c r="G1361" i="12"/>
  <c r="G1311" i="12" s="1"/>
  <c r="D327" i="13"/>
  <c r="D196" i="13"/>
  <c r="D195" i="13" s="1"/>
  <c r="D194" i="13" s="1"/>
  <c r="D932" i="13"/>
  <c r="H886" i="12"/>
  <c r="G1545" i="12"/>
  <c r="G1147" i="12"/>
  <c r="G1146" i="12" s="1"/>
  <c r="G1145" i="12" s="1"/>
  <c r="G1144" i="12" s="1"/>
  <c r="D581" i="13"/>
  <c r="D322" i="13"/>
  <c r="D321" i="13" s="1"/>
  <c r="D594" i="13"/>
  <c r="D946" i="13"/>
  <c r="D945" i="13" s="1"/>
  <c r="G889" i="12"/>
  <c r="D547" i="13"/>
  <c r="D546" i="13" s="1"/>
  <c r="D545" i="13"/>
  <c r="D544" i="13" s="1"/>
  <c r="G751" i="12"/>
  <c r="D541" i="13"/>
  <c r="D540" i="13" s="1"/>
  <c r="G682" i="12"/>
  <c r="G680" i="12"/>
  <c r="D478" i="13"/>
  <c r="D290" i="13"/>
  <c r="D289" i="13" s="1"/>
  <c r="H393" i="12"/>
  <c r="D912" i="13"/>
  <c r="G331" i="12"/>
  <c r="G330" i="12" s="1"/>
  <c r="G329" i="12" s="1"/>
  <c r="G318" i="12"/>
  <c r="D59" i="13"/>
  <c r="D126" i="13"/>
  <c r="D133" i="13"/>
  <c r="D132" i="13"/>
  <c r="D125" i="13"/>
  <c r="H89" i="12"/>
  <c r="G948" i="12" l="1"/>
  <c r="D388" i="13"/>
  <c r="D387" i="13" s="1"/>
  <c r="D372" i="13"/>
  <c r="D371" i="13" s="1"/>
  <c r="D367" i="13" s="1"/>
  <c r="D543" i="13"/>
  <c r="D542" i="13" s="1"/>
  <c r="D539" i="13" s="1"/>
  <c r="D538" i="13" s="1"/>
  <c r="G753" i="12"/>
  <c r="G755" i="12"/>
  <c r="G988" i="12"/>
  <c r="D164" i="13"/>
  <c r="G135" i="12"/>
  <c r="G140" i="12"/>
  <c r="D386" i="13"/>
  <c r="D385" i="13" s="1"/>
  <c r="G749" i="12"/>
  <c r="G748" i="12" s="1"/>
  <c r="G747" i="12" s="1"/>
  <c r="G891" i="12"/>
  <c r="D124" i="13"/>
  <c r="D131" i="13"/>
  <c r="G987" i="12" l="1"/>
  <c r="G986" i="12" s="1"/>
  <c r="H592" i="12"/>
  <c r="J153" i="12" l="1"/>
  <c r="J1591" i="12" l="1"/>
  <c r="I130" i="12"/>
  <c r="I1591" i="12" l="1"/>
  <c r="H45" i="12"/>
  <c r="H650" i="12" l="1"/>
  <c r="H1143" i="12"/>
  <c r="H1000" i="12"/>
  <c r="H915" i="12"/>
  <c r="H727" i="12"/>
  <c r="H1297" i="12"/>
  <c r="H1289" i="12"/>
  <c r="H90" i="12"/>
  <c r="H1538" i="12"/>
  <c r="H1190" i="12"/>
  <c r="G1189" i="12" s="1"/>
  <c r="H1194" i="12"/>
  <c r="D491" i="13" l="1"/>
  <c r="D490" i="13" s="1"/>
  <c r="G648" i="12"/>
  <c r="G999" i="12"/>
  <c r="H91" i="12"/>
  <c r="H44" i="12"/>
  <c r="G43" i="12" s="1"/>
  <c r="H1591" i="12" l="1"/>
  <c r="AE33" i="12"/>
  <c r="AH44" i="12"/>
  <c r="M45" i="12"/>
  <c r="T45" i="12"/>
  <c r="AC45" i="12"/>
  <c r="AH45" i="12"/>
  <c r="AK45" i="12"/>
  <c r="AC47" i="12"/>
  <c r="T89" i="12"/>
  <c r="U89" i="12"/>
  <c r="W89" i="12"/>
  <c r="W1582" i="12" s="1"/>
  <c r="AC89" i="12"/>
  <c r="AE89" i="12"/>
  <c r="AH89" i="12"/>
  <c r="AK89" i="12"/>
  <c r="T90" i="12"/>
  <c r="W90" i="12"/>
  <c r="AK90" i="12"/>
  <c r="AH109" i="12"/>
  <c r="AH110" i="12"/>
  <c r="AH111" i="12"/>
  <c r="AG130" i="12"/>
  <c r="AG1582" i="12" s="1"/>
  <c r="AK130" i="12"/>
  <c r="AH191" i="12"/>
  <c r="T292" i="12"/>
  <c r="T392" i="12"/>
  <c r="AE449" i="12"/>
  <c r="T526" i="12"/>
  <c r="U526" i="12"/>
  <c r="AC555" i="12"/>
  <c r="AH555" i="12"/>
  <c r="N593" i="12"/>
  <c r="M614" i="12"/>
  <c r="AC615" i="12"/>
  <c r="T727" i="12"/>
  <c r="T910" i="12"/>
  <c r="N915" i="12"/>
  <c r="M1000" i="12"/>
  <c r="T1000" i="12"/>
  <c r="Z1000" i="12"/>
  <c r="Z1582" i="12" s="1"/>
  <c r="AC1000" i="12"/>
  <c r="AK1000" i="12"/>
  <c r="T1114" i="12"/>
  <c r="U1114" i="12"/>
  <c r="U1115" i="12"/>
  <c r="T1241" i="12"/>
  <c r="T1243" i="12"/>
  <c r="N1297" i="12"/>
  <c r="AK1297" i="12"/>
  <c r="AK1538" i="12"/>
  <c r="K1582" i="12"/>
  <c r="L1582" i="12"/>
  <c r="O1582" i="12"/>
  <c r="X1582" i="12"/>
  <c r="Y1582" i="12"/>
  <c r="AD1582" i="12"/>
  <c r="AF1582" i="12"/>
  <c r="AI1582" i="12"/>
  <c r="K1583" i="12"/>
  <c r="L1583" i="12"/>
  <c r="M1583" i="12"/>
  <c r="W1583" i="12"/>
  <c r="K1584" i="12"/>
  <c r="L1584" i="12"/>
  <c r="U1584" i="12"/>
  <c r="W1584" i="12"/>
  <c r="K1585" i="12"/>
  <c r="L1585" i="12"/>
  <c r="M1585" i="12"/>
  <c r="T1585" i="12"/>
  <c r="U1585" i="12"/>
  <c r="K1586" i="12"/>
  <c r="L1586" i="12"/>
  <c r="M1586" i="12"/>
  <c r="T1586" i="12"/>
  <c r="U1586" i="12"/>
  <c r="W1586" i="12"/>
  <c r="G603" i="12"/>
  <c r="AE1582" i="12" l="1"/>
  <c r="U1583" i="12"/>
  <c r="U1587" i="12" s="1"/>
  <c r="M1582" i="12"/>
  <c r="M1584" i="12"/>
  <c r="V1586" i="12"/>
  <c r="AC1582" i="12"/>
  <c r="AH1582" i="12"/>
  <c r="AK1591" i="12"/>
  <c r="V1585" i="12"/>
  <c r="W1587" i="12"/>
  <c r="N1582" i="12"/>
  <c r="T1583" i="12"/>
  <c r="V1583" i="12" s="1"/>
  <c r="T1584" i="12"/>
  <c r="V1584" i="12" s="1"/>
  <c r="V1587" i="12" l="1"/>
  <c r="T1587" i="12"/>
  <c r="G226" i="12"/>
  <c r="G224" i="12"/>
  <c r="G223" i="12" s="1"/>
  <c r="G221" i="12"/>
  <c r="G219" i="12"/>
  <c r="G215" i="12"/>
  <c r="G193" i="12"/>
  <c r="G34" i="12"/>
  <c r="D503" i="13" l="1"/>
  <c r="D502" i="13" s="1"/>
  <c r="D501" i="13" s="1"/>
  <c r="G662" i="12"/>
  <c r="G661" i="12" s="1"/>
  <c r="D54" i="13" l="1"/>
  <c r="D36" i="13"/>
  <c r="D984" i="13" l="1"/>
  <c r="G1589" i="12"/>
  <c r="G1587" i="12"/>
  <c r="D986" i="13" l="1"/>
  <c r="G1586" i="12"/>
  <c r="G1585" i="12" s="1"/>
  <c r="G1584" i="12" s="1"/>
  <c r="G1583" i="12" s="1"/>
  <c r="G1582" i="12" l="1"/>
  <c r="F17" i="14" s="1"/>
  <c r="G1134" i="12"/>
  <c r="D897" i="13"/>
  <c r="D868" i="13"/>
  <c r="D326" i="13"/>
  <c r="D325" i="13" s="1"/>
  <c r="G398" i="12"/>
  <c r="D877" i="13"/>
  <c r="D160" i="13"/>
  <c r="D61" i="13"/>
  <c r="D60" i="13"/>
  <c r="D205" i="13"/>
  <c r="D204" i="13" s="1"/>
  <c r="D34" i="13"/>
  <c r="D874" i="13"/>
  <c r="D985" i="13"/>
  <c r="G17" i="12" l="1"/>
  <c r="G529" i="12"/>
  <c r="G1471" i="12" l="1"/>
  <c r="D971" i="13" l="1"/>
  <c r="D970" i="13" s="1"/>
  <c r="D973" i="13"/>
  <c r="D972" i="13" s="1"/>
  <c r="G925" i="12" l="1"/>
  <c r="G924" i="12" s="1"/>
  <c r="D969" i="13"/>
  <c r="D968" i="13" s="1"/>
  <c r="D354" i="13"/>
  <c r="G1272" i="12"/>
  <c r="D219" i="13" s="1"/>
  <c r="D218" i="13" s="1"/>
  <c r="G1127" i="12"/>
  <c r="D567" i="13"/>
  <c r="G919" i="12" l="1"/>
  <c r="G918" i="12" s="1"/>
  <c r="D963" i="13"/>
  <c r="D962" i="13" s="1"/>
  <c r="G31" i="12"/>
  <c r="G546" i="12" l="1"/>
  <c r="D907" i="13"/>
  <c r="D857" i="13" l="1"/>
  <c r="G411" i="12"/>
  <c r="G410" i="12" s="1"/>
  <c r="G586" i="12" l="1"/>
  <c r="G427" i="12"/>
  <c r="G426" i="12" s="1"/>
  <c r="G213" i="12" l="1"/>
  <c r="D942" i="13" l="1"/>
  <c r="D941" i="13" s="1"/>
  <c r="G621" i="12"/>
  <c r="G620" i="12" s="1"/>
  <c r="D605" i="13" l="1"/>
  <c r="D601" i="13"/>
  <c r="D280" i="13"/>
  <c r="D258" i="13"/>
  <c r="D122" i="13"/>
  <c r="G100" i="12" l="1"/>
  <c r="G1010" i="12"/>
  <c r="G553" i="12"/>
  <c r="G860" i="12" l="1"/>
  <c r="G859" i="12" s="1"/>
  <c r="G858" i="12" s="1"/>
  <c r="G857" i="12" s="1"/>
  <c r="D105" i="13" l="1"/>
  <c r="D104" i="13" s="1"/>
  <c r="D56" i="13" l="1"/>
  <c r="D55" i="13" s="1"/>
  <c r="G196" i="12"/>
  <c r="D48" i="13"/>
  <c r="D584" i="13" l="1"/>
  <c r="D800" i="13"/>
  <c r="D799" i="13" s="1"/>
  <c r="G570" i="12"/>
  <c r="G1353" i="12" l="1"/>
  <c r="G1003" i="12"/>
  <c r="G1002" i="12" s="1"/>
  <c r="G573" i="12"/>
  <c r="G572" i="12" s="1"/>
  <c r="D460" i="13" l="1"/>
  <c r="D459" i="13" s="1"/>
  <c r="D456" i="13" s="1"/>
  <c r="D599" i="13"/>
  <c r="D103" i="13"/>
  <c r="D102" i="13" s="1"/>
  <c r="D101" i="13" s="1"/>
  <c r="D53" i="13"/>
  <c r="D51" i="13" s="1"/>
  <c r="D495" i="13"/>
  <c r="G1486" i="12"/>
  <c r="G1008" i="12"/>
  <c r="G1007" i="12" s="1"/>
  <c r="G1483" i="12" l="1"/>
  <c r="G1480" i="12" s="1"/>
  <c r="D100" i="13"/>
  <c r="D99" i="13" s="1"/>
  <c r="G1346" i="12"/>
  <c r="D593" i="13" l="1"/>
  <c r="G531" i="12"/>
  <c r="D108" i="13" l="1"/>
  <c r="G108" i="12" l="1"/>
  <c r="D559" i="13"/>
  <c r="D558" i="13" s="1"/>
  <c r="D163" i="13"/>
  <c r="D162" i="13" s="1"/>
  <c r="D178" i="13"/>
  <c r="D177" i="13" s="1"/>
  <c r="D118" i="13"/>
  <c r="G790" i="12" l="1"/>
  <c r="G248" i="12"/>
  <c r="G1476" i="12" l="1"/>
  <c r="D437" i="13" l="1"/>
  <c r="D436" i="13" s="1"/>
  <c r="D902" i="13" l="1"/>
  <c r="D899" i="13" s="1"/>
  <c r="G1257" i="12" l="1"/>
  <c r="G1256" i="12" s="1"/>
  <c r="D837" i="13"/>
  <c r="G944" i="12"/>
  <c r="D884" i="13"/>
  <c r="D208" i="13"/>
  <c r="D207" i="13" s="1"/>
  <c r="D71" i="13"/>
  <c r="D70" i="13"/>
  <c r="G113" i="12"/>
  <c r="D91" i="13"/>
  <c r="D90" i="13" s="1"/>
  <c r="G1115" i="12"/>
  <c r="G524" i="12" l="1"/>
  <c r="D825" i="13"/>
  <c r="G1125" i="12"/>
  <c r="G1124" i="12" s="1"/>
  <c r="D400" i="13"/>
  <c r="D170" i="13"/>
  <c r="G414" i="12"/>
  <c r="G61" i="12"/>
  <c r="G237" i="12"/>
  <c r="D169" i="13"/>
  <c r="G158" i="12"/>
  <c r="G157" i="12" s="1"/>
  <c r="G156" i="12" s="1"/>
  <c r="G155" i="12" s="1"/>
  <c r="G1113" i="12"/>
  <c r="G1112" i="12" s="1"/>
  <c r="D801" i="13" l="1"/>
  <c r="G590" i="12"/>
  <c r="G56" i="12" l="1"/>
  <c r="D120" i="13" l="1"/>
  <c r="D128" i="13"/>
  <c r="D662" i="13"/>
  <c r="D608" i="13"/>
  <c r="G946" i="12"/>
  <c r="G1358" i="12"/>
  <c r="G1356" i="12" s="1"/>
  <c r="G1352" i="12"/>
  <c r="G1350" i="12" s="1"/>
  <c r="D583" i="13"/>
  <c r="D582" i="13" s="1"/>
  <c r="G943" i="12" l="1"/>
  <c r="G942" i="12" s="1"/>
  <c r="D887" i="13"/>
  <c r="D889" i="13"/>
  <c r="D529" i="13"/>
  <c r="D480" i="13"/>
  <c r="D50" i="13"/>
  <c r="D89" i="13"/>
  <c r="D88" i="13" s="1"/>
  <c r="D351" i="13" l="1"/>
  <c r="D404" i="13"/>
  <c r="D876" i="13"/>
  <c r="D875" i="13" s="1"/>
  <c r="D870" i="13"/>
  <c r="D435" i="13"/>
  <c r="D432" i="13"/>
  <c r="D243" i="13"/>
  <c r="D297" i="13"/>
  <c r="D296" i="13"/>
  <c r="D294" i="13"/>
  <c r="D292" i="13" s="1"/>
  <c r="D271" i="13"/>
  <c r="D269" i="13"/>
  <c r="D247" i="13"/>
  <c r="D441" i="13"/>
  <c r="D210" i="13"/>
  <c r="D860" i="13"/>
  <c r="D46" i="13" l="1"/>
  <c r="D45" i="13" s="1"/>
  <c r="F40" i="13" s="1"/>
  <c r="D40" i="13"/>
  <c r="D39" i="13" s="1"/>
  <c r="D835" i="13"/>
  <c r="D834" i="13" s="1"/>
  <c r="D833" i="13" s="1"/>
  <c r="D826" i="13"/>
  <c r="D824" i="13" s="1"/>
  <c r="D823" i="13" s="1"/>
  <c r="D577" i="13"/>
  <c r="D453" i="13"/>
  <c r="D954" i="13"/>
  <c r="D952" i="13"/>
  <c r="D944" i="13"/>
  <c r="D940" i="13"/>
  <c r="D939" i="13" s="1"/>
  <c r="D554" i="13"/>
  <c r="D550" i="13"/>
  <c r="D527" i="13"/>
  <c r="D798" i="13"/>
  <c r="D597" i="13"/>
  <c r="D383" i="13"/>
  <c r="D921" i="13"/>
  <c r="D917" i="13"/>
  <c r="D894" i="13"/>
  <c r="D895" i="13"/>
  <c r="D893" i="13"/>
  <c r="D881" i="13"/>
  <c r="D844" i="13"/>
  <c r="D571" i="13"/>
  <c r="E280" i="13"/>
  <c r="D906" i="13"/>
  <c r="D905" i="13" s="1"/>
  <c r="D919" i="13"/>
  <c r="D872" i="13"/>
  <c r="D423" i="13"/>
  <c r="D422" i="13"/>
  <c r="D395" i="13"/>
  <c r="D394" i="13"/>
  <c r="D866" i="13"/>
  <c r="D865" i="13" s="1"/>
  <c r="D630" i="13"/>
  <c r="D684" i="13"/>
  <c r="D263" i="13"/>
  <c r="D254" i="13"/>
  <c r="D256" i="13"/>
  <c r="D253" i="13"/>
  <c r="D426" i="13"/>
  <c r="D425" i="13"/>
  <c r="D413" i="13"/>
  <c r="D412" i="13"/>
  <c r="D58" i="13"/>
  <c r="D57" i="13" s="1"/>
  <c r="D19" i="13"/>
  <c r="D407" i="13"/>
  <c r="D158" i="13"/>
  <c r="D157" i="13"/>
  <c r="D201" i="13"/>
  <c r="D187" i="13"/>
  <c r="D184" i="13"/>
  <c r="D776" i="13"/>
  <c r="D775" i="13" s="1"/>
  <c r="D774" i="13"/>
  <c r="D773" i="13" s="1"/>
  <c r="D252" i="13" l="1"/>
  <c r="D424" i="13"/>
  <c r="D797" i="13"/>
  <c r="D796" i="13" s="1"/>
  <c r="D795" i="13" s="1"/>
  <c r="D156" i="13"/>
  <c r="E253" i="13"/>
  <c r="D647" i="13"/>
  <c r="D646" i="13" s="1"/>
  <c r="D644" i="13"/>
  <c r="D701" i="13"/>
  <c r="D700" i="13" s="1"/>
  <c r="D698" i="13"/>
  <c r="D145" i="13"/>
  <c r="D77" i="13"/>
  <c r="D75" i="13" s="1"/>
  <c r="D73" i="13"/>
  <c r="D107" i="13"/>
  <c r="D32" i="13"/>
  <c r="D121" i="13"/>
  <c r="D27" i="13"/>
  <c r="D25" i="13"/>
  <c r="D24" i="13"/>
  <c r="D22" i="13"/>
  <c r="D87" i="13"/>
  <c r="D23" i="13" l="1"/>
  <c r="D86" i="13"/>
  <c r="D983" i="13"/>
  <c r="D349" i="13" l="1"/>
  <c r="D676" i="13" l="1"/>
  <c r="G1552" i="12"/>
  <c r="D622" i="13"/>
  <c r="G1567" i="12"/>
  <c r="G1566" i="12" s="1"/>
  <c r="D696" i="13"/>
  <c r="G1554" i="12"/>
  <c r="D642" i="13"/>
  <c r="G1569" i="12"/>
  <c r="G1558" i="12"/>
  <c r="D772" i="13"/>
  <c r="D771" i="13" s="1"/>
  <c r="G1560" i="12"/>
  <c r="D620" i="13"/>
  <c r="D726" i="13"/>
  <c r="D717" i="13"/>
  <c r="D715" i="13" s="1"/>
  <c r="D674" i="13"/>
  <c r="D185" i="13"/>
  <c r="G1551" i="12" l="1"/>
  <c r="G1550" i="12" s="1"/>
  <c r="G816" i="12"/>
  <c r="D724" i="13"/>
  <c r="G849" i="12"/>
  <c r="D640" i="13"/>
  <c r="D914" i="13"/>
  <c r="G1422" i="12"/>
  <c r="G796" i="12"/>
  <c r="D670" i="13" s="1"/>
  <c r="D672" i="13"/>
  <c r="G804" i="12"/>
  <c r="G826" i="12"/>
  <c r="D770" i="13"/>
  <c r="D769" i="13" s="1"/>
  <c r="G798" i="12"/>
  <c r="D680" i="13"/>
  <c r="G806" i="12"/>
  <c r="D694" i="13"/>
  <c r="G820" i="12"/>
  <c r="D734" i="13"/>
  <c r="G837" i="12"/>
  <c r="D616" i="13"/>
  <c r="G845" i="12"/>
  <c r="D634" i="13"/>
  <c r="G1133" i="12"/>
  <c r="D806" i="13"/>
  <c r="D805" i="13" s="1"/>
  <c r="G1030" i="12"/>
  <c r="G1051" i="12"/>
  <c r="D762" i="13"/>
  <c r="D761" i="13" s="1"/>
  <c r="G1074" i="12"/>
  <c r="D632" i="13"/>
  <c r="G1348" i="12"/>
  <c r="G800" i="12"/>
  <c r="D682" i="13"/>
  <c r="G814" i="12"/>
  <c r="D720" i="13"/>
  <c r="G822" i="12"/>
  <c r="D764" i="13"/>
  <c r="D763" i="13" s="1"/>
  <c r="G839" i="12"/>
  <c r="D618" i="13"/>
  <c r="G847" i="12"/>
  <c r="G1021" i="12"/>
  <c r="D722" i="13"/>
  <c r="G1032" i="12"/>
  <c r="D678" i="13"/>
  <c r="G1053" i="12"/>
  <c r="D768" i="13"/>
  <c r="D767" i="13" s="1"/>
  <c r="G1076" i="12"/>
  <c r="D638" i="13"/>
  <c r="G794" i="12"/>
  <c r="G802" i="12"/>
  <c r="D688" i="13"/>
  <c r="G824" i="12"/>
  <c r="D766" i="13"/>
  <c r="D765" i="13" s="1"/>
  <c r="G841" i="12"/>
  <c r="D626" i="13"/>
  <c r="G1026" i="12"/>
  <c r="D686" i="13"/>
  <c r="D718" i="13"/>
  <c r="G1070" i="12"/>
  <c r="D614" i="13"/>
  <c r="G818" i="12"/>
  <c r="D732" i="13"/>
  <c r="G843" i="12"/>
  <c r="D628" i="13"/>
  <c r="G1028" i="12"/>
  <c r="D692" i="13"/>
  <c r="G1049" i="12"/>
  <c r="D730" i="13"/>
  <c r="G1072" i="12"/>
  <c r="D624" i="13"/>
  <c r="G1359" i="12"/>
  <c r="G1355" i="12" s="1"/>
  <c r="G1025" i="12" l="1"/>
  <c r="D714" i="13"/>
  <c r="D607" i="13"/>
  <c r="G836" i="12"/>
  <c r="G793" i="12"/>
  <c r="G1046" i="12"/>
  <c r="G1130" i="12"/>
  <c r="G1129" i="12" s="1"/>
  <c r="G1128" i="12" s="1"/>
  <c r="F34" i="14" s="1"/>
  <c r="G1132" i="12"/>
  <c r="G1131" i="12" s="1"/>
  <c r="D668" i="13"/>
  <c r="D661" i="13" s="1"/>
  <c r="G1345" i="12"/>
  <c r="G1344" i="12" s="1"/>
  <c r="G1343" i="12" s="1"/>
  <c r="G1549" i="12"/>
  <c r="D660" i="13" l="1"/>
  <c r="G713" i="12"/>
  <c r="G712" i="12" s="1"/>
  <c r="G705" i="12" s="1"/>
  <c r="F27" i="14" s="1"/>
  <c r="G676" i="12" l="1"/>
  <c r="D384" i="13"/>
  <c r="G1195" i="12"/>
  <c r="G1200" i="12" l="1"/>
  <c r="G1199" i="12" s="1"/>
  <c r="D288" i="13"/>
  <c r="D287" i="13" s="1"/>
  <c r="G1203" i="12"/>
  <c r="G1202" i="12" s="1"/>
  <c r="D313" i="13"/>
  <c r="D312" i="13" s="1"/>
  <c r="G1193" i="12"/>
  <c r="G1184" i="12" s="1"/>
  <c r="D44" i="13"/>
  <c r="D43" i="13" s="1"/>
  <c r="D473" i="13"/>
  <c r="D467" i="13"/>
  <c r="D468" i="13"/>
  <c r="D477" i="13"/>
  <c r="D479" i="13"/>
  <c r="D472" i="13"/>
  <c r="D476" i="13" l="1"/>
  <c r="G1198" i="12"/>
  <c r="G1197" i="12" s="1"/>
  <c r="D471" i="13"/>
  <c r="G645" i="12"/>
  <c r="G644" i="12" l="1"/>
  <c r="G654" i="12"/>
  <c r="G653" i="12"/>
  <c r="G481" i="12"/>
  <c r="G480" i="12" s="1"/>
  <c r="G478" i="12"/>
  <c r="G477" i="12" s="1"/>
  <c r="D316" i="13"/>
  <c r="D315" i="13"/>
  <c r="D49" i="13"/>
  <c r="D47" i="13" s="1"/>
  <c r="F39" i="13" s="1"/>
  <c r="G624" i="12" l="1"/>
  <c r="F23" i="14" s="1"/>
  <c r="D314" i="13"/>
  <c r="G483" i="12"/>
  <c r="G476" i="12" s="1"/>
  <c r="G475" i="12" s="1"/>
  <c r="D760" i="13"/>
  <c r="D759" i="13" s="1"/>
  <c r="D408" i="13" l="1"/>
  <c r="D406" i="13"/>
  <c r="D202" i="13"/>
  <c r="D200" i="13" s="1"/>
  <c r="G251" i="12"/>
  <c r="G254" i="12" l="1"/>
  <c r="D188" i="13"/>
  <c r="G337" i="12"/>
  <c r="G218" i="12"/>
  <c r="G217" i="12" s="1"/>
  <c r="G212" i="12"/>
  <c r="G211" i="12" s="1"/>
  <c r="D142" i="13"/>
  <c r="D141" i="13"/>
  <c r="D117" i="13"/>
  <c r="D115" i="13"/>
  <c r="D31" i="13"/>
  <c r="D30" i="13"/>
  <c r="D83" i="13"/>
  <c r="D869" i="13"/>
  <c r="D28" i="13" l="1"/>
  <c r="D116" i="13"/>
  <c r="G129" i="12"/>
  <c r="D35" i="13"/>
  <c r="G152" i="12"/>
  <c r="D144" i="13"/>
  <c r="G87" i="12"/>
  <c r="G149" i="12"/>
  <c r="G210" i="12"/>
  <c r="G209" i="12" s="1"/>
  <c r="G86" i="12" l="1"/>
  <c r="D579" i="13" l="1"/>
  <c r="D20" i="13" l="1"/>
  <c r="D18" i="13" s="1"/>
  <c r="G1276" i="12"/>
  <c r="G1275" i="12" s="1"/>
  <c r="G1273" i="12" s="1"/>
  <c r="F51" i="14"/>
  <c r="D958" i="13"/>
  <c r="D956" i="13"/>
  <c r="D955" i="13" s="1"/>
  <c r="D953" i="13"/>
  <c r="D951" i="13"/>
  <c r="D950" i="13"/>
  <c r="D949" i="13" s="1"/>
  <c r="D943" i="13"/>
  <c r="D922" i="13"/>
  <c r="D920" i="13"/>
  <c r="D918" i="13"/>
  <c r="D916" i="13"/>
  <c r="D915" i="13" s="1"/>
  <c r="D913" i="13"/>
  <c r="D911" i="13"/>
  <c r="D910" i="13" s="1"/>
  <c r="D908" i="13"/>
  <c r="D904" i="13"/>
  <c r="D900" i="13"/>
  <c r="D898" i="13"/>
  <c r="D888" i="13"/>
  <c r="D886" i="13"/>
  <c r="D885" i="13" s="1"/>
  <c r="D883" i="13"/>
  <c r="D882" i="13"/>
  <c r="D873" i="13"/>
  <c r="D867" i="13"/>
  <c r="D859" i="13"/>
  <c r="D858" i="13" s="1"/>
  <c r="D856" i="13"/>
  <c r="D853" i="13"/>
  <c r="D852" i="13" s="1"/>
  <c r="D851" i="13" s="1"/>
  <c r="D850" i="13" s="1"/>
  <c r="D849" i="13"/>
  <c r="D848" i="13"/>
  <c r="D843" i="13"/>
  <c r="D842" i="13" s="1"/>
  <c r="D841" i="13" s="1"/>
  <c r="D821" i="13"/>
  <c r="D820" i="13" s="1"/>
  <c r="D819" i="13" s="1"/>
  <c r="D596" i="13"/>
  <c r="D595" i="13" s="1"/>
  <c r="D580" i="13"/>
  <c r="D576" i="13"/>
  <c r="D570" i="13"/>
  <c r="D566" i="13"/>
  <c r="D565" i="13"/>
  <c r="D564" i="13" s="1"/>
  <c r="D562" i="13"/>
  <c r="D557" i="13"/>
  <c r="D556" i="13" s="1"/>
  <c r="D555" i="13" s="1"/>
  <c r="D553" i="13"/>
  <c r="D552" i="13" s="1"/>
  <c r="D549" i="13"/>
  <c r="D548" i="13" s="1"/>
  <c r="D528" i="13"/>
  <c r="D526" i="13"/>
  <c r="D525" i="13" s="1"/>
  <c r="D523" i="13"/>
  <c r="D515" i="13"/>
  <c r="D514" i="13" s="1"/>
  <c r="D498" i="13"/>
  <c r="D497" i="13" s="1"/>
  <c r="D496" i="13" s="1"/>
  <c r="D494" i="13"/>
  <c r="D493" i="13" s="1"/>
  <c r="D492" i="13" s="1"/>
  <c r="D489" i="13"/>
  <c r="D469" i="13"/>
  <c r="D452" i="13"/>
  <c r="D451" i="13" s="1"/>
  <c r="D450" i="13" s="1"/>
  <c r="D440" i="13"/>
  <c r="D439" i="13" s="1"/>
  <c r="D438" i="13" s="1"/>
  <c r="D434" i="13"/>
  <c r="D433" i="13" s="1"/>
  <c r="D431" i="13"/>
  <c r="D430" i="13"/>
  <c r="D429" i="13" s="1"/>
  <c r="D403" i="13"/>
  <c r="D398" i="13"/>
  <c r="D390" i="13"/>
  <c r="D360" i="13"/>
  <c r="D359" i="13" s="1"/>
  <c r="D358" i="13" s="1"/>
  <c r="D357" i="13" s="1"/>
  <c r="D355" i="13"/>
  <c r="D350" i="13"/>
  <c r="D348" i="13"/>
  <c r="D311" i="13"/>
  <c r="D310" i="13" s="1"/>
  <c r="D309" i="13"/>
  <c r="D308" i="13" s="1"/>
  <c r="D307" i="13"/>
  <c r="D306" i="13"/>
  <c r="D304" i="13"/>
  <c r="D303" i="13"/>
  <c r="D298" i="13"/>
  <c r="D295" i="13"/>
  <c r="D284" i="13"/>
  <c r="D283" i="13" s="1"/>
  <c r="D282" i="13"/>
  <c r="D281" i="13" s="1"/>
  <c r="D279" i="13"/>
  <c r="D272" i="13"/>
  <c r="D270" i="13"/>
  <c r="D268" i="13"/>
  <c r="D265" i="13"/>
  <c r="D264" i="13" s="1"/>
  <c r="D262" i="13"/>
  <c r="D260" i="13"/>
  <c r="D259" i="13" s="1"/>
  <c r="D257" i="13"/>
  <c r="D246" i="13"/>
  <c r="D244" i="13"/>
  <c r="D242" i="13"/>
  <c r="D232" i="13"/>
  <c r="D231" i="13" s="1"/>
  <c r="D229" i="13"/>
  <c r="D228" i="13" s="1"/>
  <c r="D226" i="13"/>
  <c r="D225" i="13" s="1"/>
  <c r="D224" i="13" s="1"/>
  <c r="D217" i="13"/>
  <c r="D216" i="13" s="1"/>
  <c r="D215" i="13"/>
  <c r="D214" i="13" s="1"/>
  <c r="D212" i="13"/>
  <c r="D211" i="13" s="1"/>
  <c r="D199" i="13" s="1"/>
  <c r="D209" i="13"/>
  <c r="D176" i="13"/>
  <c r="D175" i="13" s="1"/>
  <c r="D173" i="13"/>
  <c r="D172" i="13"/>
  <c r="D171" i="13" s="1"/>
  <c r="D159" i="13"/>
  <c r="D127" i="13"/>
  <c r="D123" i="13"/>
  <c r="D111" i="13"/>
  <c r="D110" i="13" s="1"/>
  <c r="D106" i="13"/>
  <c r="D85" i="13"/>
  <c r="D84" i="13" s="1"/>
  <c r="D82" i="13"/>
  <c r="D81" i="13" s="1"/>
  <c r="D80" i="13"/>
  <c r="D72" i="13"/>
  <c r="D64" i="13"/>
  <c r="D63" i="13" s="1"/>
  <c r="D52" i="13"/>
  <c r="D37" i="13"/>
  <c r="D26" i="13"/>
  <c r="G1543" i="12"/>
  <c r="G1542" i="12" s="1"/>
  <c r="G1541" i="12" s="1"/>
  <c r="G1539" i="12"/>
  <c r="G1537" i="12"/>
  <c r="G1518" i="12"/>
  <c r="G1517" i="12" s="1"/>
  <c r="G1516" i="12" s="1"/>
  <c r="G1515" i="12" s="1"/>
  <c r="G1511" i="12"/>
  <c r="G1510" i="12" s="1"/>
  <c r="G1505" i="12"/>
  <c r="G1504" i="12" s="1"/>
  <c r="G1503" i="12" s="1"/>
  <c r="G1502" i="12" s="1"/>
  <c r="G1501" i="12" s="1"/>
  <c r="F58" i="14" s="1"/>
  <c r="G1497" i="12"/>
  <c r="G1496" i="12" s="1"/>
  <c r="G1495" i="12" s="1"/>
  <c r="G1493" i="12"/>
  <c r="G1491" i="12"/>
  <c r="G1490" i="12" s="1"/>
  <c r="G1474" i="12"/>
  <c r="G1473" i="12" s="1"/>
  <c r="G1469" i="12"/>
  <c r="G1468" i="12" s="1"/>
  <c r="G1467" i="12" s="1"/>
  <c r="G1464" i="12"/>
  <c r="G1463" i="12" s="1"/>
  <c r="G1462" i="12" s="1"/>
  <c r="G1461" i="12" s="1"/>
  <c r="G1459" i="12"/>
  <c r="G1458" i="12" s="1"/>
  <c r="G1457" i="12" s="1"/>
  <c r="G1453" i="12"/>
  <c r="G1452" i="12" s="1"/>
  <c r="G1450" i="12"/>
  <c r="G1449" i="12" s="1"/>
  <c r="G1439" i="12"/>
  <c r="G1438" i="12" s="1"/>
  <c r="G1437" i="12" s="1"/>
  <c r="G1435" i="12"/>
  <c r="G1434" i="12"/>
  <c r="G1433" i="12" s="1"/>
  <c r="G1432" i="12"/>
  <c r="G1431" i="12" s="1"/>
  <c r="G1430" i="12" s="1"/>
  <c r="G1428" i="12"/>
  <c r="G1427" i="12" s="1"/>
  <c r="G1426" i="12" s="1"/>
  <c r="G1425" i="12" s="1"/>
  <c r="G1421" i="12"/>
  <c r="G1420" i="12"/>
  <c r="G1341" i="12"/>
  <c r="G1335" i="12" s="1"/>
  <c r="G1334" i="12" s="1"/>
  <c r="G1339" i="12"/>
  <c r="G1338" i="12" s="1"/>
  <c r="G1337" i="12" s="1"/>
  <c r="G1332" i="12"/>
  <c r="G1329" i="12"/>
  <c r="G1325" i="12" s="1"/>
  <c r="G1324" i="12" s="1"/>
  <c r="G1323" i="12" s="1"/>
  <c r="G1322" i="12" s="1"/>
  <c r="G1320" i="12"/>
  <c r="G1319" i="12"/>
  <c r="G1318" i="12" s="1"/>
  <c r="G1317" i="12" s="1"/>
  <c r="G1300" i="12"/>
  <c r="G1298" i="12"/>
  <c r="G1296" i="12"/>
  <c r="G1295" i="12"/>
  <c r="G1271" i="12"/>
  <c r="G1270" i="12"/>
  <c r="G1268" i="12"/>
  <c r="G1264" i="12"/>
  <c r="G1259" i="12"/>
  <c r="G1250" i="12"/>
  <c r="G1242" i="12"/>
  <c r="G1240" i="12"/>
  <c r="G1239" i="12" s="1"/>
  <c r="G1237" i="12"/>
  <c r="G1236" i="12" s="1"/>
  <c r="G1231" i="12"/>
  <c r="G1230" i="12" s="1"/>
  <c r="G1187" i="12"/>
  <c r="G1185" i="12"/>
  <c r="G1183" i="12" s="1"/>
  <c r="G1179" i="12"/>
  <c r="G1174" i="12"/>
  <c r="G1173" i="12"/>
  <c r="G1172" i="12" s="1"/>
  <c r="G1170" i="12"/>
  <c r="G1168" i="12"/>
  <c r="G1162" i="12"/>
  <c r="G1161" i="12" s="1"/>
  <c r="G1160" i="12" s="1"/>
  <c r="G1158" i="12"/>
  <c r="G1157" i="12" s="1"/>
  <c r="G1151" i="12"/>
  <c r="G1141" i="12"/>
  <c r="G1140" i="12" s="1"/>
  <c r="G1139" i="12" s="1"/>
  <c r="G1138" i="12" s="1"/>
  <c r="F36" i="14" s="1"/>
  <c r="G1111" i="12"/>
  <c r="G1109" i="12"/>
  <c r="G1016" i="12"/>
  <c r="G938" i="12"/>
  <c r="G934" i="12" s="1"/>
  <c r="G916" i="12"/>
  <c r="G914" i="12"/>
  <c r="G909" i="12"/>
  <c r="G908" i="12" s="1"/>
  <c r="G907" i="12" s="1"/>
  <c r="G906" i="12" s="1"/>
  <c r="G902" i="12"/>
  <c r="G900" i="12"/>
  <c r="G899" i="12" s="1"/>
  <c r="G897" i="12"/>
  <c r="G895" i="12"/>
  <c r="G894" i="12" s="1"/>
  <c r="G885" i="12"/>
  <c r="G884" i="12" s="1"/>
  <c r="G883" i="12" s="1"/>
  <c r="G876" i="12"/>
  <c r="G875" i="12" s="1"/>
  <c r="G874" i="12" s="1"/>
  <c r="G871" i="12"/>
  <c r="G870" i="12" s="1"/>
  <c r="G869" i="12" s="1"/>
  <c r="G788" i="12"/>
  <c r="G787" i="12" s="1"/>
  <c r="G786" i="12" s="1"/>
  <c r="G784" i="12"/>
  <c r="G783" i="12" s="1"/>
  <c r="G780" i="12"/>
  <c r="G778" i="12"/>
  <c r="G774" i="12"/>
  <c r="G772" i="12"/>
  <c r="G771" i="12" s="1"/>
  <c r="G769" i="12"/>
  <c r="G768" i="12" s="1"/>
  <c r="G765" i="12"/>
  <c r="G764" i="12" s="1"/>
  <c r="G762" i="12"/>
  <c r="G761" i="12" s="1"/>
  <c r="G758" i="12"/>
  <c r="G757" i="12" s="1"/>
  <c r="G737" i="12"/>
  <c r="G735" i="12"/>
  <c r="G734" i="12" s="1"/>
  <c r="G726" i="12"/>
  <c r="G725" i="12" s="1"/>
  <c r="G719" i="12"/>
  <c r="G718" i="12" s="1"/>
  <c r="G717" i="12" s="1"/>
  <c r="G716" i="12" s="1"/>
  <c r="G710" i="12"/>
  <c r="G708" i="12"/>
  <c r="G703" i="12"/>
  <c r="G702" i="12" s="1"/>
  <c r="G700" i="12"/>
  <c r="G699" i="12" s="1"/>
  <c r="G675" i="12"/>
  <c r="G674" i="12" s="1"/>
  <c r="G673" i="12" s="1"/>
  <c r="G672" i="12" s="1"/>
  <c r="G642" i="12"/>
  <c r="G638" i="12"/>
  <c r="G633" i="12"/>
  <c r="G631" i="12"/>
  <c r="G628" i="12"/>
  <c r="G618" i="12"/>
  <c r="G617" i="12" s="1"/>
  <c r="G616" i="12" s="1"/>
  <c r="G613" i="12"/>
  <c r="G610" i="12"/>
  <c r="G609" i="12" s="1"/>
  <c r="G601" i="12"/>
  <c r="G600" i="12" s="1"/>
  <c r="G598" i="12"/>
  <c r="G597" i="12" s="1"/>
  <c r="G594" i="12"/>
  <c r="G589" i="12" s="1"/>
  <c r="G585" i="12"/>
  <c r="G584" i="12" s="1"/>
  <c r="G578" i="12"/>
  <c r="G577" i="12" s="1"/>
  <c r="G576" i="12" s="1"/>
  <c r="G575" i="12" s="1"/>
  <c r="G568" i="12"/>
  <c r="G567" i="12" s="1"/>
  <c r="G565" i="12"/>
  <c r="G564" i="12"/>
  <c r="G561" i="12"/>
  <c r="G560" i="12" s="1"/>
  <c r="G558" i="12"/>
  <c r="G552" i="12" s="1"/>
  <c r="G556" i="12"/>
  <c r="G545" i="12"/>
  <c r="G544" i="12" s="1"/>
  <c r="G543" i="12" s="1"/>
  <c r="G542" i="12" s="1"/>
  <c r="F19" i="14" s="1"/>
  <c r="G540" i="12"/>
  <c r="G539" i="12" s="1"/>
  <c r="G538" i="12" s="1"/>
  <c r="G537" i="12" s="1"/>
  <c r="F16" i="14" s="1"/>
  <c r="G518" i="12"/>
  <c r="G517" i="12" s="1"/>
  <c r="G516" i="12" s="1"/>
  <c r="G513" i="12"/>
  <c r="G510" i="12"/>
  <c r="G502" i="12"/>
  <c r="G500" i="12" s="1"/>
  <c r="G499" i="12" s="1"/>
  <c r="G498" i="12" s="1"/>
  <c r="G497" i="12" s="1"/>
  <c r="G490" i="12"/>
  <c r="G489" i="12" s="1"/>
  <c r="G488" i="12" s="1"/>
  <c r="G487" i="12" s="1"/>
  <c r="G486" i="12" s="1"/>
  <c r="G485" i="12" s="1"/>
  <c r="G471" i="12"/>
  <c r="G468" i="12"/>
  <c r="G465" i="12"/>
  <c r="G463" i="12"/>
  <c r="G462" i="12" s="1"/>
  <c r="G459" i="12"/>
  <c r="G457" i="12"/>
  <c r="G456" i="12" s="1"/>
  <c r="G454" i="12"/>
  <c r="G452" i="12"/>
  <c r="G447" i="12" s="1"/>
  <c r="G432" i="12"/>
  <c r="G431" i="12" s="1"/>
  <c r="G430" i="12" s="1"/>
  <c r="G429" i="12" s="1"/>
  <c r="F63" i="14" s="1"/>
  <c r="G425" i="12"/>
  <c r="G424" i="12" s="1"/>
  <c r="G423" i="12" s="1"/>
  <c r="G422" i="12" s="1"/>
  <c r="G421" i="12" s="1"/>
  <c r="G419" i="12"/>
  <c r="G417" i="12"/>
  <c r="G416" i="12" s="1"/>
  <c r="G404" i="12"/>
  <c r="G403" i="12" s="1"/>
  <c r="G402" i="12" s="1"/>
  <c r="F20" i="14" s="1"/>
  <c r="G394" i="12"/>
  <c r="G391" i="12"/>
  <c r="G383" i="12"/>
  <c r="G382" i="12" s="1"/>
  <c r="G381" i="12" s="1"/>
  <c r="G380" i="12" s="1"/>
  <c r="G379" i="12" s="1"/>
  <c r="G378" i="12" s="1"/>
  <c r="G374" i="12"/>
  <c r="G373" i="12" s="1"/>
  <c r="G364" i="12"/>
  <c r="G363" i="12" s="1"/>
  <c r="G362" i="12" s="1"/>
  <c r="G359" i="12"/>
  <c r="G358" i="12" s="1"/>
  <c r="G357" i="12" s="1"/>
  <c r="G355" i="12"/>
  <c r="G353" i="12"/>
  <c r="G350" i="12"/>
  <c r="G349" i="12" s="1"/>
  <c r="G347" i="12"/>
  <c r="G345" i="12"/>
  <c r="G336" i="12"/>
  <c r="G335" i="12" s="1"/>
  <c r="G328" i="12" s="1"/>
  <c r="G311" i="12"/>
  <c r="G306" i="12"/>
  <c r="G305" i="12" s="1"/>
  <c r="G303" i="12"/>
  <c r="G300" i="12"/>
  <c r="G294" i="12"/>
  <c r="G290" i="12"/>
  <c r="G273" i="12"/>
  <c r="G271" i="12"/>
  <c r="G270" i="12" s="1"/>
  <c r="G258" i="12"/>
  <c r="G250" i="12"/>
  <c r="G245" i="12"/>
  <c r="G243" i="12"/>
  <c r="G240" i="12"/>
  <c r="G239" i="12" s="1"/>
  <c r="G232" i="12"/>
  <c r="G231" i="12" s="1"/>
  <c r="G230" i="12" s="1"/>
  <c r="G207" i="12"/>
  <c r="G206" i="12" s="1"/>
  <c r="G205" i="12" s="1"/>
  <c r="G204" i="12" s="1"/>
  <c r="G202" i="12"/>
  <c r="G199" i="12"/>
  <c r="G183" i="12"/>
  <c r="G182" i="12" s="1"/>
  <c r="G138" i="12"/>
  <c r="G128" i="12" s="1"/>
  <c r="G126" i="12"/>
  <c r="G124" i="12"/>
  <c r="G123" i="12" s="1"/>
  <c r="G122" i="12" s="1"/>
  <c r="G121" i="12" s="1"/>
  <c r="G118" i="12"/>
  <c r="G107" i="12"/>
  <c r="G69" i="12"/>
  <c r="G68" i="12" s="1"/>
  <c r="G58" i="12"/>
  <c r="G54" i="12"/>
  <c r="G51" i="12"/>
  <c r="G48" i="12"/>
  <c r="G30" i="12"/>
  <c r="G25" i="12"/>
  <c r="G24" i="12" s="1"/>
  <c r="G23" i="12" s="1"/>
  <c r="G22" i="12" s="1"/>
  <c r="G15" i="12"/>
  <c r="G14" i="12" s="1"/>
  <c r="G13" i="12" s="1"/>
  <c r="G12" i="12" s="1"/>
  <c r="G767" i="12" l="1"/>
  <c r="G1466" i="12"/>
  <c r="G1465" i="12" s="1"/>
  <c r="G446" i="12"/>
  <c r="G1274" i="12"/>
  <c r="D251" i="13"/>
  <c r="D561" i="13"/>
  <c r="D560" i="13" s="1"/>
  <c r="D347" i="13"/>
  <c r="G1235" i="12"/>
  <c r="G236" i="12"/>
  <c r="G235" i="12" s="1"/>
  <c r="G257" i="12"/>
  <c r="G1015" i="12"/>
  <c r="G1014" i="12" s="1"/>
  <c r="G310" i="12"/>
  <c r="G309" i="12" s="1"/>
  <c r="G308" i="12"/>
  <c r="D223" i="13"/>
  <c r="G1182" i="12"/>
  <c r="G1181" i="12" s="1"/>
  <c r="D864" i="13"/>
  <c r="G893" i="12"/>
  <c r="G882" i="12" s="1"/>
  <c r="G933" i="12"/>
  <c r="G1248" i="12"/>
  <c r="G1247" i="12" s="1"/>
  <c r="G1246" i="12" s="1"/>
  <c r="F24" i="14"/>
  <c r="F22" i="14" s="1"/>
  <c r="G198" i="12"/>
  <c r="G181" i="12" s="1"/>
  <c r="G180" i="12" s="1"/>
  <c r="G179" i="12" s="1"/>
  <c r="G563" i="12"/>
  <c r="D488" i="13"/>
  <c r="F37" i="14"/>
  <c r="F35" i="14" s="1"/>
  <c r="G1150" i="12"/>
  <c r="G1149" i="12" s="1"/>
  <c r="G413" i="12"/>
  <c r="G53" i="12"/>
  <c r="G1233" i="12"/>
  <c r="G1229" i="12" s="1"/>
  <c r="D862" i="13"/>
  <c r="D861" i="13" s="1"/>
  <c r="D855" i="13" s="1"/>
  <c r="G1419" i="12"/>
  <c r="F55" i="14"/>
  <c r="G11" i="12"/>
  <c r="G10" i="12" s="1"/>
  <c r="G428" i="12"/>
  <c r="F62" i="14"/>
  <c r="D847" i="13"/>
  <c r="D846" i="13" s="1"/>
  <c r="D845" i="13" s="1"/>
  <c r="D302" i="13"/>
  <c r="D428" i="13"/>
  <c r="D305" i="13"/>
  <c r="D114" i="13"/>
  <c r="D948" i="13"/>
  <c r="D947" i="13" s="1"/>
  <c r="D938" i="13"/>
  <c r="D937" i="13" s="1"/>
  <c r="D382" i="13"/>
  <c r="D381" i="13" s="1"/>
  <c r="D405" i="13"/>
  <c r="D880" i="13"/>
  <c r="D879" i="13" s="1"/>
  <c r="D896" i="13"/>
  <c r="D397" i="13"/>
  <c r="D931" i="13"/>
  <c r="D930" i="13" s="1"/>
  <c r="D161" i="13"/>
  <c r="D276" i="13"/>
  <c r="D275" i="13" s="1"/>
  <c r="D274" i="13" s="1"/>
  <c r="D934" i="13"/>
  <c r="D69" i="13"/>
  <c r="D353" i="13"/>
  <c r="D352" i="13" s="1"/>
  <c r="D155" i="13"/>
  <c r="D267" i="13"/>
  <c r="D266" i="13" s="1"/>
  <c r="D466" i="13"/>
  <c r="D465" i="13" s="1"/>
  <c r="D464" i="13" s="1"/>
  <c r="D822" i="13"/>
  <c r="D982" i="13"/>
  <c r="D981" i="13" s="1"/>
  <c r="D143" i="13"/>
  <c r="D168" i="13"/>
  <c r="D167" i="13" s="1"/>
  <c r="D183" i="13"/>
  <c r="D182" i="13" s="1"/>
  <c r="D840" i="13"/>
  <c r="D140" i="13"/>
  <c r="D213" i="13"/>
  <c r="D193" i="13" s="1"/>
  <c r="D393" i="13"/>
  <c r="D389" i="13" s="1"/>
  <c r="D410" i="13"/>
  <c r="D409" i="13" s="1"/>
  <c r="D475" i="13"/>
  <c r="D474" i="13" s="1"/>
  <c r="D578" i="13"/>
  <c r="D892" i="13"/>
  <c r="D241" i="13"/>
  <c r="D240" i="13" s="1"/>
  <c r="D261" i="13"/>
  <c r="D551" i="13"/>
  <c r="D513" i="13" s="1"/>
  <c r="D33" i="13"/>
  <c r="D78" i="13"/>
  <c r="D119" i="13"/>
  <c r="D186" i="13"/>
  <c r="D421" i="13"/>
  <c r="G868" i="12"/>
  <c r="G608" i="12"/>
  <c r="G607" i="12" s="1"/>
  <c r="G317" i="12"/>
  <c r="G316" i="12" s="1"/>
  <c r="G315" i="12" s="1"/>
  <c r="F48" i="14" s="1"/>
  <c r="G42" i="12"/>
  <c r="G29" i="12"/>
  <c r="G461" i="12"/>
  <c r="G637" i="12"/>
  <c r="G636" i="12" s="1"/>
  <c r="G627" i="12"/>
  <c r="G626" i="12" s="1"/>
  <c r="G707" i="12"/>
  <c r="G706" i="12" s="1"/>
  <c r="G760" i="12"/>
  <c r="G724" i="12" s="1"/>
  <c r="G777" i="12"/>
  <c r="G776" i="12" s="1"/>
  <c r="G782" i="12"/>
  <c r="G1448" i="12"/>
  <c r="G1447" i="12" s="1"/>
  <c r="G496" i="12"/>
  <c r="F12" i="14" s="1"/>
  <c r="G1167" i="12"/>
  <c r="G1166" i="12" s="1"/>
  <c r="G1165" i="12" s="1"/>
  <c r="G1164" i="12" s="1"/>
  <c r="G1156" i="12" s="1"/>
  <c r="G1155" i="12" s="1"/>
  <c r="G299" i="12"/>
  <c r="G298" i="12" s="1"/>
  <c r="F56" i="14"/>
  <c r="F60" i="14"/>
  <c r="G112" i="12"/>
  <c r="G85" i="12" s="1"/>
  <c r="G84" i="12" s="1"/>
  <c r="G1456" i="12"/>
  <c r="G1536" i="12"/>
  <c r="G1535" i="12" s="1"/>
  <c r="G913" i="12"/>
  <c r="G912" i="12" s="1"/>
  <c r="G911" i="12" s="1"/>
  <c r="G905" i="12" s="1"/>
  <c r="G269" i="12"/>
  <c r="G289" i="12"/>
  <c r="G288" i="12" s="1"/>
  <c r="G390" i="12"/>
  <c r="G389" i="12" s="1"/>
  <c r="G388" i="12" s="1"/>
  <c r="G509" i="12"/>
  <c r="G508" i="12" s="1"/>
  <c r="G523" i="12"/>
  <c r="G522" i="12" s="1"/>
  <c r="G521" i="12" s="1"/>
  <c r="G588" i="12"/>
  <c r="G580" i="12" s="1"/>
  <c r="G361" i="12"/>
  <c r="G698" i="12"/>
  <c r="G697" i="12" s="1"/>
  <c r="G344" i="12"/>
  <c r="G352" i="12"/>
  <c r="G551" i="12"/>
  <c r="G550" i="12" s="1"/>
  <c r="G1489" i="12"/>
  <c r="G1488" i="12" s="1"/>
  <c r="D346" i="13" l="1"/>
  <c r="D291" i="13"/>
  <c r="D286" i="13" s="1"/>
  <c r="G932" i="12"/>
  <c r="F32" i="14" s="1"/>
  <c r="D113" i="13"/>
  <c r="D575" i="13"/>
  <c r="D574" i="13" s="1"/>
  <c r="G28" i="12"/>
  <c r="G21" i="12" s="1"/>
  <c r="G20" i="12" s="1"/>
  <c r="D396" i="13"/>
  <c r="D166" i="13"/>
  <c r="G1228" i="12"/>
  <c r="G1217" i="12" s="1"/>
  <c r="D463" i="13"/>
  <c r="D604" i="13"/>
  <c r="D603" i="13" s="1"/>
  <c r="F41" i="14"/>
  <c r="D863" i="13"/>
  <c r="G387" i="12"/>
  <c r="G386" i="12" s="1"/>
  <c r="G866" i="12"/>
  <c r="F29" i="14" s="1"/>
  <c r="G41" i="12"/>
  <c r="G40" i="12" s="1"/>
  <c r="D17" i="13"/>
  <c r="G998" i="12"/>
  <c r="G997" i="12" s="1"/>
  <c r="G996" i="12" s="1"/>
  <c r="D380" i="13"/>
  <c r="G723" i="12"/>
  <c r="G1534" i="12"/>
  <c r="F61" i="14" s="1"/>
  <c r="F59" i="14" s="1"/>
  <c r="G83" i="12"/>
  <c r="F31" i="14"/>
  <c r="G409" i="12"/>
  <c r="G408" i="12" s="1"/>
  <c r="G407" i="12" s="1"/>
  <c r="G1137" i="12"/>
  <c r="D891" i="13"/>
  <c r="D890" i="13" s="1"/>
  <c r="G549" i="12"/>
  <c r="G314" i="12"/>
  <c r="G1285" i="12"/>
  <c r="G1123" i="12"/>
  <c r="G1108" i="12" s="1"/>
  <c r="D929" i="13"/>
  <c r="D928" i="13" s="1"/>
  <c r="D68" i="13"/>
  <c r="D154" i="13"/>
  <c r="D420" i="13"/>
  <c r="D419" i="13" s="1"/>
  <c r="G445" i="12"/>
  <c r="G444" i="12" s="1"/>
  <c r="D250" i="13"/>
  <c r="G625" i="12"/>
  <c r="G623" i="12" s="1"/>
  <c r="G287" i="12"/>
  <c r="G229" i="12"/>
  <c r="G228" i="12" s="1"/>
  <c r="G507" i="12"/>
  <c r="G506" i="12" s="1"/>
  <c r="G1446" i="12"/>
  <c r="G1418" i="12" s="1"/>
  <c r="G696" i="12"/>
  <c r="F26" i="14" s="1"/>
  <c r="G343" i="12"/>
  <c r="G342" i="12" s="1"/>
  <c r="G341" i="12" s="1"/>
  <c r="G968" i="12" l="1"/>
  <c r="D16" i="13"/>
  <c r="D15" i="13" s="1"/>
  <c r="D379" i="13"/>
  <c r="F44" i="14"/>
  <c r="G39" i="12"/>
  <c r="F39" i="14" s="1"/>
  <c r="F14" i="14"/>
  <c r="I10" i="14" s="1"/>
  <c r="G385" i="12"/>
  <c r="F21" i="14"/>
  <c r="G1284" i="12"/>
  <c r="G1507" i="12"/>
  <c r="D512" i="13"/>
  <c r="G443" i="12"/>
  <c r="F43" i="14"/>
  <c r="G722" i="12"/>
  <c r="F28" i="14" s="1"/>
  <c r="F25" i="14" s="1"/>
  <c r="D854" i="13"/>
  <c r="F40" i="14"/>
  <c r="D818" i="13"/>
  <c r="G327" i="12"/>
  <c r="F57" i="14"/>
  <c r="F54" i="14" s="1"/>
  <c r="D239" i="13"/>
  <c r="G1154" i="12"/>
  <c r="G286" i="12"/>
  <c r="D13" i="13" l="1"/>
  <c r="F11" i="14"/>
  <c r="G495" i="12"/>
  <c r="F33" i="14"/>
  <c r="F30" i="14" s="1"/>
  <c r="G442" i="12"/>
  <c r="G434" i="12" s="1"/>
  <c r="F47" i="14"/>
  <c r="F46" i="14" s="1"/>
  <c r="G695" i="12"/>
  <c r="G38" i="12"/>
  <c r="G19" i="12" s="1"/>
  <c r="F45" i="14"/>
  <c r="F38" i="14" s="1"/>
  <c r="F10" i="14" l="1"/>
  <c r="G904" i="12"/>
  <c r="G494" i="12" s="1"/>
  <c r="G9" i="12" s="1"/>
</calcChain>
</file>

<file path=xl/comments1.xml><?xml version="1.0" encoding="utf-8"?>
<comments xmlns="http://schemas.openxmlformats.org/spreadsheetml/2006/main">
  <authors>
    <author>bao_no</author>
  </authors>
  <commentList>
    <comment ref="B57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8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9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60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65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156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ГМК</t>
        </r>
      </text>
    </comment>
  </commentList>
</comments>
</file>

<file path=xl/comments2.xml><?xml version="1.0" encoding="utf-8"?>
<comments xmlns="http://schemas.openxmlformats.org/spreadsheetml/2006/main">
  <authors>
    <author>bao_no</author>
  </authors>
  <commentList>
    <comment ref="E915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взносы за кап.ремонт?
</t>
        </r>
      </text>
    </comment>
  </commentList>
</comments>
</file>

<file path=xl/sharedStrings.xml><?xml version="1.0" encoding="utf-8"?>
<sst xmlns="http://schemas.openxmlformats.org/spreadsheetml/2006/main" count="11219" uniqueCount="1202">
  <si>
    <t>Муниципальная программа «Социальная политика и профилактика правонарушений в муниципальном образовании «город Слободской»»</t>
  </si>
  <si>
    <t>Подпрограмма «Профилактика правонарушений в муниципальном образовании «город Слободской»»</t>
  </si>
  <si>
    <t>Подпрограмма «Социальная поддержка семей с детьми и социально-ориентированных некоммерческих организаций в муниципальном образовании «город Слободской»»</t>
  </si>
  <si>
    <t>Подпрограмма «Обеспечение государственных гарантий содержания и социальных прав детей-сирот и детей, оставшихся без попечения родителей»</t>
  </si>
  <si>
    <t>Подпрограмма «Содержание и организация                              Единой дежурно-диспетчерской службы муниципального образования «город Слободской»»</t>
  </si>
  <si>
    <t>Подпрограмма «Обеспечение безопасности людей на водных объектах, укрепление и развитие материально-технической базы МКУ «Спасательная станция города Слободского»</t>
  </si>
  <si>
    <t>Подпрограмма «Обеспечение экологической безопасности и качества окружающей среды на территории муниципального образования город «Слободской»</t>
  </si>
  <si>
    <t>Подпрограмма «Противодействие экстремизму и профилактика терроризма на территории муниципального образования «город Слободской»»</t>
  </si>
  <si>
    <t>Подпрограмма «Развитие дорожного хозяйства муниципального образования «город Слободской»»</t>
  </si>
  <si>
    <t>Подпрограмма «Коммунальная и жилищная инфраструктура муниципального образования «город Слободской»»</t>
  </si>
  <si>
    <t>Подпрограмма «Содержание и благоустройство города Слободского»</t>
  </si>
  <si>
    <t>Подпрограмма «Развитие общественной инфраструктуры в муниципальном образовании «город Слободской»»</t>
  </si>
  <si>
    <t>Муниципальная программа «Формирование современной городской среды города Слободского»</t>
  </si>
  <si>
    <t>Муниципальная программа «Экономическое развитие и поддержка предпринимательства в муниципальном образовании «город Слободской»»</t>
  </si>
  <si>
    <t>Подпрограмма «Экономическое развитие и формирование благоприятного инвестиционного климата города Слободского»</t>
  </si>
  <si>
    <t>Подпрограмма «Поддержка и развитие малого и среднего предпринимательства»</t>
  </si>
  <si>
    <t>Муниципальная программа «Муниципальное управление муниципального образования «город Слободской»»</t>
  </si>
  <si>
    <t>Подпрограмма «Противодействие коррупции в муниципальном образовании «город Слободской»»</t>
  </si>
  <si>
    <t>Подпрограмма «Развитие муниципальной службы в муниципальном образовании «город Слободской»»</t>
  </si>
  <si>
    <t xml:space="preserve">09Я00 00000 </t>
  </si>
  <si>
    <t>Муниципальная программа «Управление муниципальным имуществом муниципального образования «город Слободской»»</t>
  </si>
  <si>
    <t>10000 00000</t>
  </si>
  <si>
    <t>Подпрограмма «Повышение эффективности использования муниципального имущества и получение неналоговых доходов от его использования»</t>
  </si>
  <si>
    <t>10100 00000</t>
  </si>
  <si>
    <t>Подпрограмма «Управление земельными ресурсами»</t>
  </si>
  <si>
    <t>01000 0000</t>
  </si>
  <si>
    <t>04200 00000</t>
  </si>
  <si>
    <t>05400 00000</t>
  </si>
  <si>
    <t>06300 00000</t>
  </si>
  <si>
    <t>06400 00000</t>
  </si>
  <si>
    <t>08100 00000</t>
  </si>
  <si>
    <t>08200 00000</t>
  </si>
  <si>
    <t>09000 00000</t>
  </si>
  <si>
    <t>09100 00000</t>
  </si>
  <si>
    <t>09200 00000</t>
  </si>
  <si>
    <t>10Я00 00000</t>
  </si>
  <si>
    <t>09200 02000</t>
  </si>
  <si>
    <t>09200 02020</t>
  </si>
  <si>
    <t>Муниципальная программа «Развитие образования в муниципальном образовании «город Слободской»</t>
  </si>
  <si>
    <t>01100 03020</t>
  </si>
  <si>
    <t>01100 04380</t>
  </si>
  <si>
    <t>01100 17010</t>
  </si>
  <si>
    <t>01100 03040</t>
  </si>
  <si>
    <t>01100 03140</t>
  </si>
  <si>
    <t>09Я00 00000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</si>
  <si>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города</t>
  </si>
  <si>
    <t>Наименование расхода</t>
  </si>
  <si>
    <t>Целевая статья</t>
  </si>
  <si>
    <t>ВСЕГО РАСХОДОВ</t>
  </si>
  <si>
    <t>00000 00000</t>
  </si>
  <si>
    <t>000</t>
  </si>
  <si>
    <t>01100 00000</t>
  </si>
  <si>
    <t>Финансовое обеспечение деятельности муниципальных учреждений</t>
  </si>
  <si>
    <t>01100 03000</t>
  </si>
  <si>
    <t>Дошкольные учреждения</t>
  </si>
  <si>
    <t>01100 03010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</si>
  <si>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</si>
  <si>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</si>
  <si>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нужд</t>
  </si>
  <si>
    <t>200</t>
  </si>
  <si>
    <t>Иные бюджетные ассигнования</t>
  </si>
  <si>
    <t>800</t>
  </si>
  <si>
    <t>Мероприятия в установленной сфере деятельности</t>
  </si>
  <si>
    <t>01100 04000</t>
  </si>
  <si>
    <t>Мероприятия за счет добровольных пожертвований</t>
  </si>
  <si>
    <t>01100 04390</t>
  </si>
  <si>
    <t>Мероприятия за счёт родительской платы</t>
  </si>
  <si>
    <t>01100 04400</t>
  </si>
  <si>
    <t>Иные межбюджетные трансферты из областного бюджета</t>
  </si>
  <si>
    <t>01100 17000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</si>
  <si>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</si>
  <si>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01100 17140</t>
  </si>
  <si>
    <t>01200 00000</t>
  </si>
  <si>
    <t>Общеобразовательные учреждения</t>
  </si>
  <si>
    <t>Учреждения дополнительного образования</t>
  </si>
  <si>
    <t>Мероприятия за счет оказания дополнительных услуг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</si>
  <si>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</si>
  <si>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01300 00000</t>
  </si>
  <si>
    <t>Прочие учреждения в области образования</t>
  </si>
  <si>
    <t>01400 00000</t>
  </si>
  <si>
    <t>01400 04000</t>
  </si>
  <si>
    <t>Создание безопасных условий в образовательных организациях</t>
  </si>
  <si>
    <t>Прочие муниципальные учреждения</t>
  </si>
  <si>
    <t>Отдельные мероприятия программы</t>
  </si>
  <si>
    <t>01Я00 00000</t>
  </si>
  <si>
    <t>02000 00000</t>
  </si>
  <si>
    <t>02100 00000</t>
  </si>
  <si>
    <t>02200 00000</t>
  </si>
  <si>
    <t>02300 00000</t>
  </si>
  <si>
    <t>02400 00000</t>
  </si>
  <si>
    <t>02Я00 00000</t>
  </si>
  <si>
    <t>03000 00000</t>
  </si>
  <si>
    <t>04000 00000</t>
  </si>
  <si>
    <t>04100 00000</t>
  </si>
  <si>
    <t>04300 00000</t>
  </si>
  <si>
    <t>05000 00000</t>
  </si>
  <si>
    <t>05100 00000</t>
  </si>
  <si>
    <t>05200 00000</t>
  </si>
  <si>
    <t>05300 00000</t>
  </si>
  <si>
    <t>06000 00000</t>
  </si>
  <si>
    <t>06100 00000</t>
  </si>
  <si>
    <t>06200 00000</t>
  </si>
  <si>
    <t>07000 00000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</si>
  <si>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</si>
  <si>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Центральный аппарат</t>
  </si>
  <si>
    <t>Руководитель контрольно-счетной комиссии муниципального образования</t>
  </si>
  <si>
    <t>07Я00 00000</t>
  </si>
  <si>
    <t>Ведомственная структура расходов бюджета города</t>
  </si>
  <si>
    <t>Код главно-го рас-поряди-теля</t>
  </si>
  <si>
    <t>Раз-дел</t>
  </si>
  <si>
    <t>Под-раз-дел</t>
  </si>
  <si>
    <t>Вид         рас-хода</t>
  </si>
  <si>
    <t>00</t>
  </si>
  <si>
    <t>903</t>
  </si>
  <si>
    <t>Общегосударственные вопросы</t>
  </si>
  <si>
    <t>01</t>
  </si>
  <si>
    <t>02</t>
  </si>
  <si>
    <t>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</si>
  <si>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</si>
  <si>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</si>
  <si>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</si>
  <si>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</si>
  <si>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</si>
  <si>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</si>
  <si>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</si>
  <si>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</si>
  <si>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</si>
  <si>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</si>
  <si>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09</t>
  </si>
  <si>
    <t>Культура, кинематография</t>
  </si>
  <si>
    <t>08</t>
  </si>
  <si>
    <t>Другие вопросы в области культуры, кинематографии</t>
  </si>
  <si>
    <t>Государственная поддержка муниципальных общеобразовательных организаций, обеспечивающих высокое качество образования</t>
  </si>
  <si>
    <t xml:space="preserve">                 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</si>
  <si>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                 городской Думы</t>
  </si>
  <si>
    <t>08000 00000</t>
  </si>
  <si>
    <t>08Я00 00000</t>
  </si>
  <si>
    <t>Вид расхода</t>
  </si>
  <si>
    <t>Подпрограмма «Развитие дошкольного, общего и дополнительного образования детей города Слободского»</t>
  </si>
  <si>
    <t>Подпрограмма «Развитие кадрового потенциала системы образования города Слободского»</t>
  </si>
  <si>
    <t>Подпрограмма «Реализация государственной молодежной политики и организация отдыха детей и молодежи города Слободского»</t>
  </si>
  <si>
    <t>Подпрограмма «Патриотическое воспитание детей и молодежи города Слободского»</t>
  </si>
  <si>
    <t>Подпрограмма «Развитие муниципального бюджетного учреждения культуры «Слободской музейно-выставочный центр»»</t>
  </si>
  <si>
    <t>Подпрограмма «Информационно-библиотечное обслуживание населения в муниципальном образовании «город Слободской»</t>
  </si>
  <si>
    <t>Подпрограмма «Организация деятельности МБУ  ДК «Паруса»</t>
  </si>
  <si>
    <t>Подпрограмма «Развитие архивного дела в муниципальном образовании «город Слободской»»</t>
  </si>
  <si>
    <t>Поддержка и развитие талантливых и одаренных детей</t>
  </si>
  <si>
    <t>Молодежная политика и оздоровление детей</t>
  </si>
  <si>
    <t>01100 04020</t>
  </si>
  <si>
    <t>01100 04040</t>
  </si>
  <si>
    <t>01200 03000</t>
  </si>
  <si>
    <t>01200 03050</t>
  </si>
  <si>
    <t>01300 04000</t>
  </si>
  <si>
    <t>Мероприятия в области образования</t>
  </si>
  <si>
    <t>01200 04000</t>
  </si>
  <si>
    <t>01200 04010</t>
  </si>
  <si>
    <t>Мероприятия в области молодежной политики</t>
  </si>
  <si>
    <t>01300 04080</t>
  </si>
  <si>
    <t>Муниципальная программа «Развитие культуры в муниципальном образовании «город Слободской»»</t>
  </si>
  <si>
    <t xml:space="preserve">Муниципальная программа «Развитие физической культуры и спорта в муниципальном образовании «город Слободской»» </t>
  </si>
  <si>
    <t>Муниципальная программа  «Обеспечение безопасности населения и территории муниципального образования «город Слободской»»</t>
  </si>
  <si>
    <t>Муниципальная программа «Городское хозяйство муниципального образования «город Слободской»»</t>
  </si>
  <si>
    <t>01400 03000</t>
  </si>
  <si>
    <t>01400 03140</t>
  </si>
  <si>
    <t>Мероприятия по оздоровлению детей и молодежи</t>
  </si>
  <si>
    <t>01400 04030</t>
  </si>
  <si>
    <t>Социальная политика</t>
  </si>
  <si>
    <t>Социальное обеспечение населения</t>
  </si>
  <si>
    <t>Обеспечение мер социальной поддержки отдельных категорий граждан</t>
  </si>
  <si>
    <t>10</t>
  </si>
  <si>
    <t>04200 10000</t>
  </si>
  <si>
    <t>Охрана семьи и детства</t>
  </si>
  <si>
    <t>Подпрограмма "Обеспечение государственных гарантий содержания и социальных прав детей-сирот и детей, оставшихся без попечения родителей"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</si>
  <si>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</si>
  <si>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</si>
  <si>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Социальное обеспечение и иные выплаты населению</t>
  </si>
  <si>
    <t>300</t>
  </si>
  <si>
    <t>04300 16000</t>
  </si>
  <si>
    <t>04200 16000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</si>
  <si>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</si>
  <si>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Работники, осуществляющие техническое обеспечение органа местного самоуправления</t>
  </si>
  <si>
    <t>09200 02060</t>
  </si>
  <si>
    <t>Резервные фонды</t>
  </si>
  <si>
    <t>11</t>
  </si>
  <si>
    <t>Резервные фонды администрации</t>
  </si>
  <si>
    <t>09Я00 07000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</si>
  <si>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</si>
  <si>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</si>
  <si>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</si>
  <si>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13</t>
  </si>
  <si>
    <t>Обслуживание государственного (муниципального) долга</t>
  </si>
  <si>
    <t>700</t>
  </si>
  <si>
    <t>09Я00 06000</t>
  </si>
  <si>
    <t>Муниципальное казенное учреждение «Слободская городская библиотека им.А.Грина»</t>
  </si>
  <si>
    <t>Культура</t>
  </si>
  <si>
    <t>Библиотеки</t>
  </si>
  <si>
    <t>02200 03000</t>
  </si>
  <si>
    <t>02200 03080</t>
  </si>
  <si>
    <t>02200 04000</t>
  </si>
  <si>
    <t>02200 04380</t>
  </si>
  <si>
    <t>02200 04390</t>
  </si>
  <si>
    <t>Функционирование высшего должностного лица субъекта Российской Федерации и муниципального образования</t>
  </si>
  <si>
    <t xml:space="preserve"> 09000 00000</t>
  </si>
  <si>
    <t xml:space="preserve"> 09200 00000</t>
  </si>
  <si>
    <t>Глава муниципального образования</t>
  </si>
  <si>
    <t xml:space="preserve">  09200 02010</t>
  </si>
  <si>
    <t>Осуществление деятельности по опеке и попечительству</t>
  </si>
  <si>
    <t>04100 16040</t>
  </si>
  <si>
    <t>Судебная система</t>
  </si>
  <si>
    <t>05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</si>
  <si>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</si>
  <si>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</si>
  <si>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00000 00000</t>
  </si>
  <si>
    <t>000 </t>
  </si>
  <si>
    <t xml:space="preserve">Подпрограмма "Развитие архивного дела в муниципальном образовании "город Слободской" </t>
  </si>
  <si>
    <t>Архивные учреждения</t>
  </si>
  <si>
    <t>02400 03000</t>
  </si>
  <si>
    <t>02400 03130</t>
  </si>
  <si>
    <t>Мероприятия в области экономики</t>
  </si>
  <si>
    <t>08100 04000</t>
  </si>
  <si>
    <t>08100 04270</t>
  </si>
  <si>
    <t>Управление муниципальным имуществом</t>
  </si>
  <si>
    <t>10100 04000</t>
  </si>
  <si>
    <t>10100 04340</t>
  </si>
  <si>
    <t>Мероприятия в сфере рекламы</t>
  </si>
  <si>
    <t>10Я00 04000</t>
  </si>
  <si>
    <t>10Я00 04350</t>
  </si>
  <si>
    <t>Другие общегосударственные мероприятия</t>
  </si>
  <si>
    <t>09200  04360</t>
  </si>
  <si>
    <t>Учреждения по обеспечению органов местного самоуправления</t>
  </si>
  <si>
    <t>09Я00 03000</t>
  </si>
  <si>
    <t>09Я00 03100</t>
  </si>
  <si>
    <t>Создание и деятельность в муниципальных образованиях административной(ых) комиссии(ий)</t>
  </si>
  <si>
    <t>Национальная безопасность и правоохранительная деятельность</t>
  </si>
  <si>
    <t>05100 03000</t>
  </si>
  <si>
    <t>05100 03140</t>
  </si>
  <si>
    <t>Поисковые и аварийно-спасательные учреждения</t>
  </si>
  <si>
    <t>05200 03000</t>
  </si>
  <si>
    <t>05200 03120</t>
  </si>
  <si>
    <t>Другие вопросы в области национальной безопасности и правоохранительной деятельности</t>
  </si>
  <si>
    <t>14</t>
  </si>
  <si>
    <t>05400 04000</t>
  </si>
  <si>
    <t>05400 04080</t>
  </si>
  <si>
    <t>Национальная  экономика</t>
  </si>
  <si>
    <t>Сельское хозяйство и рыболовство</t>
  </si>
  <si>
    <t>06300 16000</t>
  </si>
  <si>
    <t>06300 16160</t>
  </si>
  <si>
    <t>Дорожное хозяйство (дорожные фонды)</t>
  </si>
  <si>
    <t>Мероприятия в области дорожного хозяйства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</si>
  <si>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</si>
  <si>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Осуществление дорожной деятельности в отношении автомобильных дорог общего пользования местного значения</t>
  </si>
  <si>
    <t>06400 04000</t>
  </si>
  <si>
    <t>06400 04390</t>
  </si>
  <si>
    <t>Инвестиционные программы и проекты развития общественной инфраструктуры муниципальных образований в Кировской области</t>
  </si>
  <si>
    <t>06400 15000</t>
  </si>
  <si>
    <t>06400 15170</t>
  </si>
  <si>
    <t>06400 S5170</t>
  </si>
  <si>
    <t>Обеспечение  безопасности дорожного движения на территории  муниципального образования город Слободской</t>
  </si>
  <si>
    <t>Другие вопросы в области национальной экономики</t>
  </si>
  <si>
    <t>12</t>
  </si>
  <si>
    <t>Поддержка и развитие предпринимательства</t>
  </si>
  <si>
    <t>600</t>
  </si>
  <si>
    <t>08200 04000</t>
  </si>
  <si>
    <t>08200 04280</t>
  </si>
  <si>
    <t>Предоставление субсидий бюджетным, автономным учреждениям и иным некоммерческим организациям</t>
  </si>
  <si>
    <t>Мероприятия по развитию торгово-ярмарочной деятельности</t>
  </si>
  <si>
    <t>08Я00 04000</t>
  </si>
  <si>
    <t>08Я00 04330</t>
  </si>
  <si>
    <t>06200 04000</t>
  </si>
  <si>
    <t>Мероприятия по координатному описанию границ</t>
  </si>
  <si>
    <t>10120 04340</t>
  </si>
  <si>
    <t>10Я00 04550</t>
  </si>
  <si>
    <t>Мероприятия по внесению изменений сведений в ГКН по объектам недвижимости</t>
  </si>
  <si>
    <t>10Я00 04600</t>
  </si>
  <si>
    <t>Жилищно-коммунальное хозяйство</t>
  </si>
  <si>
    <t>Жилищное хозяйство</t>
  </si>
  <si>
    <t>Обеспечение контроля за соблюдением требований жилищного законодательства в области жилищных отношений</t>
  </si>
  <si>
    <t>06200 04070</t>
  </si>
  <si>
    <t>Выявление, учет, выполнение работ по ремонту и предоставление гражданам свободных жилых помещений муниципального жилищного фонда на территории  муниципального образования город Слободской</t>
  </si>
  <si>
    <t>06200 04150</t>
  </si>
  <si>
    <t>Коммунальное хозяйство</t>
  </si>
  <si>
    <t>Содержание и ремонт муниципальных электрических сетей на территории  муниципального образования город Слободской</t>
  </si>
  <si>
    <t>06300 04000</t>
  </si>
  <si>
    <t>06300 04170</t>
  </si>
  <si>
    <t>Благоустройство</t>
  </si>
  <si>
    <t>936</t>
  </si>
  <si>
    <t>Содействие занятости детей и подростков</t>
  </si>
  <si>
    <t>04200 04000</t>
  </si>
  <si>
    <t>04200 04130</t>
  </si>
  <si>
    <t>Мероприятия по благоустройству</t>
  </si>
  <si>
    <t>Капитальные вложения в объекты недвижимого имущества государственной (муниципальной) собственности</t>
  </si>
  <si>
    <t>400</t>
  </si>
  <si>
    <t>06300 04220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</si>
  <si>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</si>
  <si>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</si>
  <si>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</si>
  <si>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Субсидия областного бюджета на реализацию государственной программы Кировской области "Охрана окружающей среды, воспроизводство и использование природных ресурсов"</t>
  </si>
  <si>
    <t>Обеспечение экологической безопасности и качества окружающей среды</t>
  </si>
  <si>
    <t>05300 04000</t>
  </si>
  <si>
    <t>05300 04260</t>
  </si>
  <si>
    <t>01Я00 15000</t>
  </si>
  <si>
    <t>Оплата стоимости питания детей в оздоровительных учреждениях с дневным пребыванием детей</t>
  </si>
  <si>
    <t>01Я00 15060</t>
  </si>
  <si>
    <t>01Я00 S5060</t>
  </si>
  <si>
    <t>Музеи</t>
  </si>
  <si>
    <t>02100 03000</t>
  </si>
  <si>
    <t>02100 03070</t>
  </si>
  <si>
    <t>Дворцы, дома и другие учреждения культуры</t>
  </si>
  <si>
    <t>02300 03000</t>
  </si>
  <si>
    <t>02300 03060</t>
  </si>
  <si>
    <t>02Я00 04000</t>
  </si>
  <si>
    <t>Проведение общегородских мероприятий</t>
  </si>
  <si>
    <t>02Я00 04090</t>
  </si>
  <si>
    <t>Сохранение, использование и популяризация объектов культурного наследования (памятников истории и культуры), находящихся в казне муниципального образования</t>
  </si>
  <si>
    <t>02Я00 04110</t>
  </si>
  <si>
    <t>Пенсионное обеспечение</t>
  </si>
  <si>
    <t>Дополнительное пенсионное обеспечение</t>
  </si>
  <si>
    <t>09Я00 08000</t>
  </si>
  <si>
    <t>Мероприятия в сфере социальной политики</t>
  </si>
  <si>
    <t>04200 04120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</si>
  <si>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</si>
  <si>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Расходы на погашение задолженности по оплате за жилое помещение и коммунальные услуги</t>
  </si>
  <si>
    <t>Расходы по администрированию</t>
  </si>
  <si>
    <t>Приобретение (строительство) жилого помещения</t>
  </si>
  <si>
    <t>04300 16093</t>
  </si>
  <si>
    <t>04300 N0820</t>
  </si>
  <si>
    <t>Другие вопросы в области социальной политики</t>
  </si>
  <si>
    <t>Мероприятия по поддержке общественных организаций</t>
  </si>
  <si>
    <t>04200 04160</t>
  </si>
  <si>
    <t>Физическая культура и спорт</t>
  </si>
  <si>
    <t>Массовый спорт</t>
  </si>
  <si>
    <t>Мероприятия в области физической культуры и спорта</t>
  </si>
  <si>
    <t>03000 04000</t>
  </si>
  <si>
    <t>03000 04060</t>
  </si>
  <si>
    <t>Спорт высших достижений</t>
  </si>
  <si>
    <t xml:space="preserve">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</si>
  <si>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городской Думы</t>
  </si>
  <si>
    <t>Распределение бюджетных ассигнований по разделам и подразделам классификации расходов бюджета города</t>
  </si>
  <si>
    <t>Вид рас-хода</t>
  </si>
  <si>
    <t>Норматив факт</t>
  </si>
  <si>
    <t>Норматив НПА КО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</si>
  <si>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</si>
  <si>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проведения выборов и референдумов</t>
  </si>
  <si>
    <t>Транспорт</t>
  </si>
  <si>
    <t>Профессиональная подготовка, переподготовка и повышение квалификации</t>
  </si>
  <si>
    <t>Здравоохранение</t>
  </si>
  <si>
    <t>Другие вопросы в области здравоохранения</t>
  </si>
  <si>
    <t>Муниципальное учреждение «Слободская городская Дума»</t>
  </si>
  <si>
    <t>Муниципальное казенное учреждение «Финансовое управление администрации города Слободского»</t>
  </si>
  <si>
    <t>Муниципальное казенное учреждение «Администрация города Слободского Кировской области»</t>
  </si>
  <si>
    <t>09200 04000</t>
  </si>
  <si>
    <t>Реализация мероприятий национального проекта "Жилье и городская среда"</t>
  </si>
  <si>
    <t>Мероприятия по формированию современной городской среды</t>
  </si>
  <si>
    <t>070F0 00000</t>
  </si>
  <si>
    <t>070F2 00000</t>
  </si>
  <si>
    <t>070F2 55550</t>
  </si>
  <si>
    <t>07Я00 04000</t>
  </si>
  <si>
    <t>07Я00 04540</t>
  </si>
  <si>
    <t>03000 03000</t>
  </si>
  <si>
    <t>03000 03150</t>
  </si>
  <si>
    <t>09100 11000</t>
  </si>
  <si>
    <t>09200 02010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</si>
  <si>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</si>
  <si>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030P5 00000</t>
  </si>
  <si>
    <t>030P5 50810</t>
  </si>
  <si>
    <t>Федеральный проект "Дорожная сеть"</t>
  </si>
  <si>
    <t>Реализация регионального проекта "Дорожная сеть Кировской области"</t>
  </si>
  <si>
    <t>061R1 00000</t>
  </si>
  <si>
    <t xml:space="preserve">061R1 Д3931 </t>
  </si>
  <si>
    <t>Содержание автомобильных дорог общего пользования местного значения в части выполнения мероприятий по обеспечению безопасности дорожного движения</t>
  </si>
  <si>
    <t>06100 17000</t>
  </si>
  <si>
    <t>06100 17260</t>
  </si>
  <si>
    <t>01100 0301А</t>
  </si>
  <si>
    <t>09Я00 0310A</t>
  </si>
  <si>
    <t xml:space="preserve">Выполнение расходных обязательств муниципальных образований </t>
  </si>
  <si>
    <t>02300 0306A</t>
  </si>
  <si>
    <t>01100 0302А</t>
  </si>
  <si>
    <t>01100 0302A</t>
  </si>
  <si>
    <t xml:space="preserve">Софинансирование к субсидии на выполнение расходных обязательств муниципальных образований </t>
  </si>
  <si>
    <t>01100 0301Б</t>
  </si>
  <si>
    <t>912</t>
  </si>
  <si>
    <t>09200 15000</t>
  </si>
  <si>
    <t>09200 15560</t>
  </si>
  <si>
    <t>09200 S5560</t>
  </si>
  <si>
    <t>Учреждения осуществляющие спортивную подготовку</t>
  </si>
  <si>
    <t>Организация вручения литературной премии имени А.С.Грина</t>
  </si>
  <si>
    <t>02Я00 04530</t>
  </si>
  <si>
    <t xml:space="preserve">Поддержка отрасли культуры </t>
  </si>
  <si>
    <t>Мероприятия в рамках переписи населения</t>
  </si>
  <si>
    <t>09Я00 04700</t>
  </si>
  <si>
    <t>09Я00 04000</t>
  </si>
  <si>
    <t>Мероприятия по поддержке общественного транспорта</t>
  </si>
  <si>
    <t>09Я00 04190</t>
  </si>
  <si>
    <t>Реализация мероприятий национального проекта "Экология"</t>
  </si>
  <si>
    <t>Федеральный проект "Чистая страна"</t>
  </si>
  <si>
    <t>053G0 00000</t>
  </si>
  <si>
    <t>053G1 N0160</t>
  </si>
  <si>
    <t>20000 00000</t>
  </si>
  <si>
    <t>20000 02050</t>
  </si>
  <si>
    <t>Информатизация системы образования</t>
  </si>
  <si>
    <t>01000 00000</t>
  </si>
  <si>
    <t>Реализация мероприятий национального проекта «Жилье и городская среда»</t>
  </si>
  <si>
    <t>Федеральный проект «Формирование комфортной городской среды»</t>
  </si>
  <si>
    <t>04100 04000</t>
  </si>
  <si>
    <t>04100 04080</t>
  </si>
  <si>
    <t>Развитие и укрепление материально-технической базы домов культуры в населенных пунктах с численностью жителей до 50 тысяч человек</t>
  </si>
  <si>
    <t>02Я00 S4670</t>
  </si>
  <si>
    <t>01300 15000</t>
  </si>
  <si>
    <t>01100 04500</t>
  </si>
  <si>
    <t>Мероприятия, не вошедшие в подпрограммы</t>
  </si>
  <si>
    <t>030P0 00000</t>
  </si>
  <si>
    <t>Реализация мероприятий национального проекта «Демография»</t>
  </si>
  <si>
    <t>Федеральный проект «Спорт – норма жизни»</t>
  </si>
  <si>
    <t>Обеспечение деятельности контрольно-счетного органа муниципального образования  «город Слободской»</t>
  </si>
  <si>
    <t xml:space="preserve">                                       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</si>
  <si>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                                       городской Думы</t>
  </si>
  <si>
    <t>02Я00 L5190</t>
  </si>
  <si>
    <t xml:space="preserve">Софинансирование к субсидии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муниципальных образовательных организациях  </t>
  </si>
  <si>
    <t>01100 S5480</t>
  </si>
  <si>
    <t>Увековечение памяти погибших при защите отечества</t>
  </si>
  <si>
    <t>01400 L2990</t>
  </si>
  <si>
    <t>06Я00 00000</t>
  </si>
  <si>
    <t>06Я00 04000</t>
  </si>
  <si>
    <t>06Я00 04440</t>
  </si>
  <si>
    <t>Закупка товаров, работ и услуг для государственных (муниципальных) нужд</t>
  </si>
  <si>
    <t>Закупка товаров, работ и услуг для обеспечения государственных (муниципальных) нужд</t>
  </si>
  <si>
    <t>02200 0308A</t>
  </si>
  <si>
    <t>02200 0308Б</t>
  </si>
  <si>
    <t>02400 0313A</t>
  </si>
  <si>
    <t>02400 0313Б</t>
  </si>
  <si>
    <t>02100 0307A</t>
  </si>
  <si>
    <t>02100 0307Б</t>
  </si>
  <si>
    <t>02300 0306Б</t>
  </si>
  <si>
    <t>Мероприятия по повышению квалификации, подготовке и переподготовке кадров</t>
  </si>
  <si>
    <t>09200 04370</t>
  </si>
  <si>
    <t>Реализация проекта "Булатову-булатная память"</t>
  </si>
  <si>
    <t>02Я00 04800</t>
  </si>
  <si>
    <t>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</si>
  <si>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на подготовку и повышение квалификации лиц, замещающих муниципальные должности, и муниципальных служащихо основным вопросам деятельности органов местного самоуправления</t>
  </si>
  <si>
    <t xml:space="preserve"> 09200 02010</t>
  </si>
  <si>
    <t>Софинансирование к субсидии на подготовку и повышение квалификации лиц, замещающих муниципальные должности, и муниципальных служащих о основным вопросам деятельности органов местного самоуправления</t>
  </si>
  <si>
    <t>Подготовка и повышение квалификации лиц, замещающих муниципальные должности, и муниципальных служащих о основным вопросам деятельности органов местного самоуправления</t>
  </si>
  <si>
    <t>Софинансирование к субсидии на подготовку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</si>
  <si>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Иные межбюджетные трансферты, получаемые из бюджетов муниципальных образований на исполнение их расходных обязательств</t>
  </si>
  <si>
    <t>05100 13000</t>
  </si>
  <si>
    <t>10200 04000</t>
  </si>
  <si>
    <t>10200 00000</t>
  </si>
  <si>
    <t>10200 04340</t>
  </si>
  <si>
    <t xml:space="preserve">Исполнение судебных актов и мировых соглашений по обращению 
взыскания на средства бюджета города
</t>
  </si>
  <si>
    <t xml:space="preserve">10100 11020 </t>
  </si>
  <si>
    <t>04Я00 00000</t>
  </si>
  <si>
    <t>Приспособление жилых помещений и общего имущества в многоквартирном доме с учетом потребностей инвалидов</t>
  </si>
  <si>
    <t>Проведение Всероссийской переписи населения 2020 года</t>
  </si>
  <si>
    <t>09Я00 54690</t>
  </si>
  <si>
    <t>07000 04390</t>
  </si>
  <si>
    <t>01300 04030</t>
  </si>
  <si>
    <t>01300 04400</t>
  </si>
  <si>
    <t>Муниципальная программа «Формирование современной городской среды города Слободского</t>
  </si>
  <si>
    <t>Подпрограмма «Развитие общественной инфраструктуры в муниципальном образовании «город Слободской»</t>
  </si>
  <si>
    <t>Федеральный проект «Дорожная сеть»</t>
  </si>
  <si>
    <t>Реализация регионального проекта «Дорожная сеть Кировской области»</t>
  </si>
  <si>
    <t>Федеральный проект «Общесистемные меры развития дорожного хозяйства»</t>
  </si>
  <si>
    <t>Реализация мероприятий национального проекта «Безопасные и качественные автомобильные дороги»</t>
  </si>
  <si>
    <t>061R0 00000</t>
  </si>
  <si>
    <t>061R2 00000</t>
  </si>
  <si>
    <t>061R2 17260</t>
  </si>
  <si>
    <t>07000 04000</t>
  </si>
  <si>
    <t>01400 04230</t>
  </si>
  <si>
    <t>Реализация мероприятий по увековечению памяти погибших при защите отечества за счет средств местного бюджета</t>
  </si>
  <si>
    <t>10Я00 15590</t>
  </si>
  <si>
    <t>10Я00 15000</t>
  </si>
  <si>
    <t xml:space="preserve"> Подготовка сведений о границах территориальных зон</t>
  </si>
  <si>
    <t>Софинансирование к субсидии на подготовку сведений о границах территориальных зон</t>
  </si>
  <si>
    <t>10Я00 S5590</t>
  </si>
  <si>
    <t xml:space="preserve">06100 11020 </t>
  </si>
  <si>
    <t>Организация бесплатного горячего питания обучающихся, получающих начальное образованиев муниципальных образовательных организациях</t>
  </si>
  <si>
    <t>01100 L3040</t>
  </si>
  <si>
    <t xml:space="preserve"> Eжемесячное денежное вознаграждение за классное руководство педагогическим работникам муниципальных общеобразовательных организаций</t>
  </si>
  <si>
    <t>01100 53030</t>
  </si>
  <si>
    <t>Обеспечение мер по поддержке перевозчиков, осуществляющих регулярные перевозки пассажиров и багажа автомобильным транспортом и (или) городским наземным электрическим транспортом</t>
  </si>
  <si>
    <t>06Я00 13080</t>
  </si>
  <si>
    <t>Софинансирование к субсидии на обеспечение мер по поддержке перевозчиков, осуществляющих регулярные перевозки пассажиров и багажа автомобильным транспортом и (или) городским наземным электрическим транспортом</t>
  </si>
  <si>
    <t>06Я00 S3080</t>
  </si>
  <si>
    <t>06Я00 04390</t>
  </si>
  <si>
    <t>Реализация проекта за счет целевого благотворительного пожертвования "Бабушки и внуки - со спортом против скуки""</t>
  </si>
  <si>
    <t>02Я00 04810</t>
  </si>
  <si>
    <t xml:space="preserve">00000 00000 </t>
  </si>
  <si>
    <t>Санитарно-эпидемиологическое благополучие</t>
  </si>
  <si>
    <t>Проведение мероприятий, связанных с обеспечением санитарно – 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</si>
  <si>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09ЯW0 58530</t>
  </si>
  <si>
    <t>Мероприятия по обеспечению персонифицированного финансирования дополнительного образовования детей</t>
  </si>
  <si>
    <t>01100 04560</t>
  </si>
  <si>
    <t>01100 0302Б</t>
  </si>
  <si>
    <t>Исполнение судебных актов и мировых соглашений по обращению 
взыскания на средства бюджета города</t>
  </si>
  <si>
    <t>06200 11020</t>
  </si>
  <si>
    <t>Исполнение судебных актов и мировых соглашений по обращению 
взыскания на средства бюджета город</t>
  </si>
  <si>
    <t>06100 11020</t>
  </si>
  <si>
    <t>Другие общегосударственные расходы</t>
  </si>
  <si>
    <t>02Я00 11000</t>
  </si>
  <si>
    <t>01300 04820</t>
  </si>
  <si>
    <t xml:space="preserve">Мероприятия за счет гранта на развитие деятельности волонтерского отряда </t>
  </si>
  <si>
    <t>04Я00 04830</t>
  </si>
  <si>
    <t>04Я00 04000</t>
  </si>
  <si>
    <t>20000 02000</t>
  </si>
  <si>
    <t>Подпрограмма «Комплексные меры противодействия немедицинскому потреблению наркотических средств и их незаконному обороту в городе Слободском»</t>
  </si>
  <si>
    <t>01100 0314Б</t>
  </si>
  <si>
    <t>01100 0304A</t>
  </si>
  <si>
    <t>01400 0314A</t>
  </si>
  <si>
    <t>01100 0314A</t>
  </si>
  <si>
    <t>01200 0305A</t>
  </si>
  <si>
    <t>09200 0202A</t>
  </si>
  <si>
    <t>03000 0315A</t>
  </si>
  <si>
    <t>05100 0314A</t>
  </si>
  <si>
    <t>05200 0312A</t>
  </si>
  <si>
    <t xml:space="preserve">  09200 0201A</t>
  </si>
  <si>
    <t xml:space="preserve"> 09200 0201A</t>
  </si>
  <si>
    <t xml:space="preserve"> 061R1 Д3931 </t>
  </si>
  <si>
    <t>20000 0205A</t>
  </si>
  <si>
    <t>01100 16170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</si>
  <si>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</si>
  <si>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04400 00000</t>
  </si>
  <si>
    <t>Подпрограмма "Комплексные меры противодействия немедицинскому потреблению наркотических средств и их незаконному обороту в городе Слободском"</t>
  </si>
  <si>
    <t>04400 04000</t>
  </si>
  <si>
    <t>Проведение выборов и референдумов</t>
  </si>
  <si>
    <t>09Я00 05000</t>
  </si>
  <si>
    <t>Выборы депутатов представительного органа местного самоуправления</t>
  </si>
  <si>
    <t>09Я00 05030</t>
  </si>
  <si>
    <t>10200 R5110</t>
  </si>
  <si>
    <t>Проведение комплексных кадастровых работ</t>
  </si>
  <si>
    <t xml:space="preserve">07 </t>
  </si>
  <si>
    <t>01400 04090</t>
  </si>
  <si>
    <t>02300 0306А</t>
  </si>
  <si>
    <t>Создание в муниципальных районах, муниципальных и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</si>
  <si>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Осуществление отдельных государственных полномочий по хранению, комплектованию, учету и использованию архивных документов</t>
  </si>
  <si>
    <t>Осуществление отдельных государственных полномочий Кировской области в области обращения с животными в части организации мероприятий при осуществлении деятельности по обращению с животными без владельцев на территории муниципальных районов, муниципальных округов и городских округов Кировской области</t>
  </si>
  <si>
    <t>04400 04080</t>
  </si>
  <si>
    <t>Модернизация и развитие инфраструктуры дошкольного, общего и дополнительного образования на территории муниципального образования «город Слободской»</t>
  </si>
  <si>
    <t>обл</t>
  </si>
  <si>
    <t>приказ</t>
  </si>
  <si>
    <t>местн</t>
  </si>
  <si>
    <t>064001517П</t>
  </si>
  <si>
    <t>02ЯА155190</t>
  </si>
  <si>
    <t>0110004500</t>
  </si>
  <si>
    <t>06400S517В</t>
  </si>
  <si>
    <t>Станции юных туристов и техников</t>
  </si>
  <si>
    <t xml:space="preserve"> Инвестиционные программы и проекты развития общественной инфраструктуры муниципальных образований в Кировской области  ("Юные моделисты", устройство ограждения и асфальтирование территории, прилегающей в зданию муниципального казенного учреждения дополнительного образования "Станция юных туристов и техников", ул.К. Маркса, д.3, г.Слободской)</t>
  </si>
  <si>
    <t>Доступное детство, ремонт отмостки и входных групп здания муниципального казенного учреждения дополнительного образования "Станция юных туристов и техников", ул.Кирова, д.27, г.Слободской</t>
  </si>
  <si>
    <t>Мероприятия за счет добровольных пожертвований ("Юные моделисты", устройство ограждения и асфальтирование территории, прилегающей в зданию муниципального казенного учреждения дополнительного образования "Станция юных туристов и техников", ул.К. Маркса, д.3, г.Слободской)</t>
  </si>
  <si>
    <t>Мероприятия за счет добровольных пожертвований ("Доступное детство", ремонт отмостки и входных групп здания муниципального казенного учреждения дополнительного образования "Станция юных туристов и техников", ул.Кирова, д.27, г.Слободской)</t>
  </si>
  <si>
    <t>06400 1517М</t>
  </si>
  <si>
    <t>06400 0439В</t>
  </si>
  <si>
    <t>06400 1517В</t>
  </si>
  <si>
    <t>Инвестиционные программы и проекты развития общественной инфраструктуры муниципальных образований в Кировской области ("Территория детского чтения", ремонт помещений в здании Центра чтения детей и подростков МКУ "Библиотека им. А.Грина", ул.Советская, д.64, г.Слободской)</t>
  </si>
  <si>
    <t>Мероприятия за счет добровольных пожертвований ("Территория детского чтения", ремонт помещений в здании Центра чтения детей и подростков МКУ "Библиотека им. А.Грина", ул.Советская, д.64, г.Слободской)</t>
  </si>
  <si>
    <t>02Я00 04450</t>
  </si>
  <si>
    <t>Государственная поддержка отрасли культуры</t>
  </si>
  <si>
    <t>Федеральный проект "Культурная среда"</t>
  </si>
  <si>
    <t>02ЯА0 00000</t>
  </si>
  <si>
    <t>Детские художественные школы</t>
  </si>
  <si>
    <t>Детские школы искусств</t>
  </si>
  <si>
    <t>01100 03160</t>
  </si>
  <si>
    <t>01100 03170</t>
  </si>
  <si>
    <t>01100 0317А</t>
  </si>
  <si>
    <t>Защита населения и территории от чрезвычайных ситуаций природного и техногенного характера, пожарная безопасность</t>
  </si>
  <si>
    <t>Инвестиционные программы и проекты развития общественной инфраструктуры муниципальных образований в Кировской области   ("Дорога достойной жизни", ремонт участка дороги по пер.Ухтымский   до д. 20 а по ул.Успенская,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</si>
  <si>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("Сухой двор-предел мечтаний", благоустройство придомовой территории у д.102, ул.Ленина,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</si>
  <si>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("Безопасность наших дворов", ремонт тротуара, дворового проезда и устройство автомобильной парковки у д.46 и д.48 по ул. Слободская, г.Слободской)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</si>
  <si>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</si>
  <si>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</si>
  <si>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 xml:space="preserve">Инвестиционные программы и проекты развития общественной инфраструктуры муниципальных образований в Кировской области </t>
  </si>
  <si>
    <t>Инвестиционные программы и проекты развития общественной инфраструктуры муниципальных образований в Кировской области ("Лучше всех!", устройство видеонаблюдения и освещения детской и спортивной площадок, искусственного покрытия на спортивной площадке у д.25 по ул.Никольская и д.92 по ул.Дерышева, г.Слободской )</t>
  </si>
  <si>
    <t xml:space="preserve"> Инвестиционные программы и проекты развития общественной инфраструктуры муниципальных образований в Кировской области  ("На радость детям и взрослым", устройствоо детской игровой площадки у д.20 б, ул.Кирова,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</si>
  <si>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("Новая кровля - новые возможности", ремонт кровли здания муниципального бюджетного учреждения Дворец Культуры "Паруса" города Слободского Кировской области, ул.Октябрьская, д.46,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</si>
  <si>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("Мечты в реальность", замена антрактно-раздвижного занавеса сцены в здании Дома культуры им.Горького муниципального бюджетного учреждения Дворец Культуры "Паруса" города Слободского Кировской области, ул.Советская, д.100, г.Слободской )</t>
  </si>
  <si>
    <t>Мероприятия за счет добровольных пожертвований ("Новая кровля - новые возможности", ремонт кровли здания муниципального бюджетного учреждения Дворец Культуры "Паруса" города Слободского Кировской области, ул.Октябрьская, д.46, г.Слободской )</t>
  </si>
  <si>
    <t>Мероприятия за счет добровольных пожертвований ("Мечты в реальность", замена антрактно-раздвижного занавеса сцены в здании Дома культуры им.Горького муниципального бюджетного учреждения Дворец Культуры "Паруса" города Слободского Кировской области, ул.Советская, д.100, г.Слободской )</t>
  </si>
  <si>
    <t>06400 S517Л</t>
  </si>
  <si>
    <t xml:space="preserve"> Инвестиционные программы и проекты развития общественной инфраструктуры муниципальных образований в Кировской области ("Тихо шифером шурша будет крыша хороша", ремонт кровли здания спорткомплекса "Мебельщик" муниципального бюджетного учреждения  "Спортивная школа" города Слободского, ул.Ленина, д.1 б, г.Слободской)</t>
  </si>
  <si>
    <t>01100 03180</t>
  </si>
  <si>
    <t>06300 04390</t>
  </si>
  <si>
    <t>-170</t>
  </si>
  <si>
    <t>-233,949</t>
  </si>
  <si>
    <t>1000</t>
  </si>
  <si>
    <t>170</t>
  </si>
  <si>
    <t xml:space="preserve">Мероприятия за счет добровольных пожертвований </t>
  </si>
  <si>
    <t>233,949</t>
  </si>
  <si>
    <t>Финансовое обеспечение (возмещение) затрат на приобретение мазута</t>
  </si>
  <si>
    <t>06Я00 17270</t>
  </si>
  <si>
    <t>06ЯF5 N243Г</t>
  </si>
  <si>
    <t>06Я00 04190</t>
  </si>
  <si>
    <t>06400 S517М</t>
  </si>
  <si>
    <t>06400 S517П</t>
  </si>
  <si>
    <t>06400 S517К</t>
  </si>
  <si>
    <t>06400 S517Ж</t>
  </si>
  <si>
    <t>06400 S517Е</t>
  </si>
  <si>
    <t>06400 S517Д</t>
  </si>
  <si>
    <t>06400 S517Г</t>
  </si>
  <si>
    <t>06400 S517В</t>
  </si>
  <si>
    <t>06400 S5175</t>
  </si>
  <si>
    <t>06400 S5171</t>
  </si>
  <si>
    <t>06400 1517П</t>
  </si>
  <si>
    <t>06400 15175</t>
  </si>
  <si>
    <t>06400 15171</t>
  </si>
  <si>
    <t>06400 0439П</t>
  </si>
  <si>
    <t>06400 0439М</t>
  </si>
  <si>
    <t>06400 04395</t>
  </si>
  <si>
    <t>06400 04391</t>
  </si>
  <si>
    <t>дума 21.04.2021</t>
  </si>
  <si>
    <t>приказы</t>
  </si>
  <si>
    <t xml:space="preserve">Мероприятия по повышению квалификации, подготовке и переподготовке кадров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</si>
  <si>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</si>
  <si>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</si>
  <si>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</si>
  <si>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04300 R0820</t>
  </si>
  <si>
    <t>01300 04380</t>
  </si>
  <si>
    <t>061R1 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</si>
  <si>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</si>
  <si>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06300 11020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</si>
  <si>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</si>
  <si>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053G1 52420</t>
  </si>
  <si>
    <t>053G1 00000</t>
  </si>
  <si>
    <t>01100 0318A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</si>
  <si>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</si>
  <si>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011E1 1546Г</t>
  </si>
  <si>
    <t>Создание мест (площадок) накопления твердых коммунальных отходов</t>
  </si>
  <si>
    <t>06300 15540</t>
  </si>
  <si>
    <t>06300 15000</t>
  </si>
  <si>
    <t>04Я00 17000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</si>
  <si>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</si>
  <si>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04Я00 17380</t>
  </si>
  <si>
    <t>Дума 16.06.2021</t>
  </si>
  <si>
    <t>06Я00 11020</t>
  </si>
  <si>
    <t>02ЯА1 55190</t>
  </si>
  <si>
    <t>Реализация мероприятий национального проекта "Образование"</t>
  </si>
  <si>
    <t>011E0 00000</t>
  </si>
  <si>
    <t>01100 0318Б</t>
  </si>
  <si>
    <t>Софинансирование к субсидии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</si>
  <si>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Федеральный проект "Современная школа"</t>
  </si>
  <si>
    <t>011E1 00000</t>
  </si>
  <si>
    <t>011E1 15000</t>
  </si>
  <si>
    <t>01100 11020</t>
  </si>
  <si>
    <t>011E1 S546Г</t>
  </si>
  <si>
    <t>город</t>
  </si>
  <si>
    <t xml:space="preserve">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муниципальных образовательных организациях</t>
  </si>
  <si>
    <t>01100 15480</t>
  </si>
  <si>
    <t>06300 S5540</t>
  </si>
  <si>
    <t>Софинансирование к созданию мест (площадок) накопления твердых коммунальных отходов</t>
  </si>
  <si>
    <t>06400 04220</t>
  </si>
  <si>
    <t>01100 15000</t>
  </si>
  <si>
    <t xml:space="preserve">10200 11020 </t>
  </si>
  <si>
    <t>06ЯF0 00000</t>
  </si>
  <si>
    <t>Федеральный проект "Чистая вода"</t>
  </si>
  <si>
    <t>09100 04370</t>
  </si>
  <si>
    <t>дума</t>
  </si>
  <si>
    <t>06200 04210</t>
  </si>
  <si>
    <t>Мероприятия в области коммунального хозяйства</t>
  </si>
  <si>
    <t>Муниципальная программа "Переселение граждан, проживающих на территории муниципального образования "город Слободской", из аварийного жилищного фонда"</t>
  </si>
  <si>
    <t>11000 00000</t>
  </si>
  <si>
    <t>11Я00 00000</t>
  </si>
  <si>
    <t>11ЯF0 00000</t>
  </si>
  <si>
    <t>Федеральный проект "Обеспечение устойчивого сокращения непригодного для проживания жилищного фонда"</t>
  </si>
  <si>
    <t>11ЯF3 00000</t>
  </si>
  <si>
    <t>Обеспечение мероприятий по переселению граждан из аварийного жилищного фонда за счет средств областного бюджета</t>
  </si>
  <si>
    <t>Приказ</t>
  </si>
  <si>
    <t>09200 0206A</t>
  </si>
  <si>
    <t xml:space="preserve">  09200 0202A</t>
  </si>
  <si>
    <t xml:space="preserve">  09200 0206A</t>
  </si>
  <si>
    <t>Дума обл</t>
  </si>
  <si>
    <t>Дума мест</t>
  </si>
  <si>
    <t xml:space="preserve">                                                                                                                                                         Приложение № 9</t>
  </si>
  <si>
    <t>947</t>
  </si>
  <si>
    <t>Муниципальное казенное учреждение «Контрольно-счетная комиссия города Слободского"</t>
  </si>
  <si>
    <t>05Я00 00000</t>
  </si>
  <si>
    <t>Бюджетные инвестиции в объекты капитального строительства</t>
  </si>
  <si>
    <t>Бюджетные инвестиции в прочие объекты</t>
  </si>
  <si>
    <t>05Я0012000</t>
  </si>
  <si>
    <t>05Я00 12030</t>
  </si>
  <si>
    <t xml:space="preserve">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</si>
  <si>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         Приложение № 7</t>
  </si>
  <si>
    <t>область</t>
  </si>
  <si>
    <t>софин</t>
  </si>
  <si>
    <t>02Я00 L2990</t>
  </si>
  <si>
    <t>Увековечение памяти погибших при защите Отечества</t>
  </si>
  <si>
    <t>06Я00 15540</t>
  </si>
  <si>
    <t>06Я00 S5540</t>
  </si>
  <si>
    <t>Создание мест (площадок) накопления твердых коммнульных отходов</t>
  </si>
  <si>
    <t>Капитальный ремонт и ремонт автомобильных дорог общего пользования местного значения с твердым покрытием</t>
  </si>
  <si>
    <t>Организация деятельности народных дружин</t>
  </si>
  <si>
    <t>Обеспечение безопасности муниципальных общеобразовательных организаций Кировской области</t>
  </si>
  <si>
    <t>Создание модельных муниципальных библиотек</t>
  </si>
  <si>
    <t>02ЯA154540</t>
  </si>
  <si>
    <t>муниципальное казенное учреждение «Отдел образования и молодежной политики администрации города Слободского»</t>
  </si>
  <si>
    <t>Федеральный проект "Патриотическое воспитание граждан Российской Федерации"</t>
  </si>
  <si>
    <t>014EB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</si>
  <si>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</si>
  <si>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011Е0 00000</t>
  </si>
  <si>
    <t>02ЯА3 00000</t>
  </si>
  <si>
    <t>Реализация мероприятий национального проекта "Культура"</t>
  </si>
  <si>
    <t>Федеральный проект "Цифровая культура"</t>
  </si>
  <si>
    <t>Создание виртуальных концертных залов</t>
  </si>
  <si>
    <t>02ЯА3 54530</t>
  </si>
  <si>
    <t>02ЯА1 00000</t>
  </si>
  <si>
    <t>02ЯА1 55900</t>
  </si>
  <si>
    <t>Техническое оснащение региональных и муниципальных музеев</t>
  </si>
  <si>
    <t>03Я00 00000</t>
  </si>
  <si>
    <t>Субсидия на реализацию мероприятий государственной программы Кировской области "Развитие физической культуры и спорта"</t>
  </si>
  <si>
    <t>06400 1517Ч</t>
  </si>
  <si>
    <t>Инвестиционные программы и проекты развития общественной инфраструктуры муниципальных образований в Кировской области   ("Мамопомогалочка", устройство детской игровой площадки на дворовой территории, ул.Грина, д.41, г. Слободской)</t>
  </si>
  <si>
    <t>06400 1517Ш</t>
  </si>
  <si>
    <t>Инвестиционные программы и проекты развития общественной инфраструктуры муниципальных образований в Кировской области   ("Герои спорта 2", устройство спортивной площадки с теневым навесом и установкой спортивных тренажёров, мкр.Опорное, г.Слободской)</t>
  </si>
  <si>
    <t>06400 1517Э</t>
  </si>
  <si>
    <t>Инвестиционные программы и проекты развития общественной инфраструктуры муниципальных образований в Кировской области ("Великолепный дуэт", ремонт системы отопления в здании краеведческого музея муниципального бюджетного учреждения культуры "Слободской музейно-выставочный центр", ул.Советская, д.91,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</si>
  <si>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("Мужское - женское", ремонт здания общественного туалета на стадионе "Труд", ул. Советская, д.98ф, г.Слободской)</t>
  </si>
  <si>
    <t>01100 0316А</t>
  </si>
  <si>
    <t>05100 0314А</t>
  </si>
  <si>
    <t>05200 0312А</t>
  </si>
  <si>
    <t>Стационарная медицинская помощь</t>
  </si>
  <si>
    <t>Строительство теплотрассы</t>
  </si>
  <si>
    <t xml:space="preserve">                      </t>
  </si>
  <si>
    <t>06400 0439Ч</t>
  </si>
  <si>
    <t>Мероприятия за счет добровольных пожертвований ("Мамопомогалочка", устройство детской игровой площадки на дворовой территории, ул.Грина, д.41, г. Слободской)</t>
  </si>
  <si>
    <t>06400 0439Ш</t>
  </si>
  <si>
    <t>Мероприятия за счет добровольных пожертвований ("Герои спорта 2", устройство спортивной площадки с теневым навесом и установкой спортивных тренажёров, мкр.Опорное, г.Слободской)</t>
  </si>
  <si>
    <t>06400 0439Э</t>
  </si>
  <si>
    <t>Мероприятия за счет добровольных пожертвований ("Великолепный дуэт", ремонт системы отопления в здании краеведческого музея муниципального бюджетного учреждения культуры "Слободской музейно-выставочный центр", ул.Советская, д.91, г.Слободской)</t>
  </si>
  <si>
    <t>Мероприятия за счет добровольных пожертвований ("Мужское - женское", ремонт здания общественного туалета на стадионе "Труд", ул. Советская, д.98ф, г.Слободской)</t>
  </si>
  <si>
    <t>06400 S517Ч</t>
  </si>
  <si>
    <t>06400 S517Ш</t>
  </si>
  <si>
    <t>06400 S517Э</t>
  </si>
  <si>
    <t>07Я00 04390</t>
  </si>
  <si>
    <t xml:space="preserve"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</t>
  </si>
  <si>
    <t>06400 04850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</si>
  <si>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("Вектор футбола. Третий этап", устройство мини-футбольного поля в районе д.11а по ул.Железнодорожной, г.Слободской)</t>
  </si>
  <si>
    <t>06400 0485Я</t>
  </si>
  <si>
    <t>06400 0485И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</si>
  <si>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("Нашим ножкам - ровную дорожку", благоустройство придомовой территории, ул.Рождественская, д.104, г.Слободской)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</si>
  <si>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 ("Забыть Тояму Токанаву", благоустройство придомовой территории, ул.Корто, д.5а, г.Слободской)</t>
  </si>
  <si>
    <t>06400 0485Ш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</si>
  <si>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  ("Герои спорта 2", устройство спортивной площадки с теневым навесом и установкой спортивных тренажёров, мкр.Опорное, г.Слободской)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</si>
  <si>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("Великолепный дуэт", ремонт системы отопления в здании краеведческого музея муниципального бюджетного учреждения культуры "Слободской музейно-выставочный центр", ул.Советская, д.91, г.Слободской)</t>
  </si>
  <si>
    <t>06400 0485Э</t>
  </si>
  <si>
    <t>011E2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</si>
  <si>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</si>
  <si>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070F2 Д5550</t>
  </si>
  <si>
    <t>06400 0485Z</t>
  </si>
  <si>
    <t>06400 S517Q</t>
  </si>
  <si>
    <t>06400 0439Q</t>
  </si>
  <si>
    <t>13.03.2023</t>
  </si>
  <si>
    <t>03Я00 04220</t>
  </si>
  <si>
    <t>03Я00 04000</t>
  </si>
  <si>
    <t>02Я00 04540</t>
  </si>
  <si>
    <t>06400 1517U</t>
  </si>
  <si>
    <t>06400 S517U</t>
  </si>
  <si>
    <t>06400 0439U</t>
  </si>
  <si>
    <t>Инвестиционные программы и проекты развития общественной инфраструктуры муниципальных образований в Кировской области   ("Уютный дворик", благоустройство придомовой территории, ул. Кирова, д.20, г. Слободской)</t>
  </si>
  <si>
    <t>Мероприятия за счет добровольных пожертвований ("Уютный дворик", благоустройство придомовой территории, ул. Кирова, д.20, г. Слободской)</t>
  </si>
  <si>
    <t>Инвестиционные программы и проекты развития общественной инфраструктуры муниципальных образований в Кировской области ("Уютный дворик", благоустройство придомовой территории, ул. Кирова, д.20, г. Слободской)</t>
  </si>
  <si>
    <t>прик</t>
  </si>
  <si>
    <t>01300 04090</t>
  </si>
  <si>
    <t>Федеральный проект "Успех каждого ребенка"</t>
  </si>
  <si>
    <t>011E2 00000</t>
  </si>
  <si>
    <t>Дума</t>
  </si>
  <si>
    <t>06400 0439R</t>
  </si>
  <si>
    <t>06400 S517R</t>
  </si>
  <si>
    <t>06400 1517R</t>
  </si>
  <si>
    <t>Инвестиционные программы и проекты развития общественной инфраструктуры муниципальных образований в Кировской области ("Классная дорожка", ремонт тротуаров на придомовой территории ул. Красноармейская, д.114, г. Слободской)</t>
  </si>
  <si>
    <t>Мероприятия за счет добровольных пожертвований ("Классная дорожка", ремонт тротуаров на придомовой территории ул. Красноармейская, д.114, г. Слободской)</t>
  </si>
  <si>
    <t>приказ 13.06.2023</t>
  </si>
  <si>
    <t>приказ 26.05.2023</t>
  </si>
  <si>
    <t>Предоставление бесплатного горячего питания детям участников специальной военной операции</t>
  </si>
  <si>
    <t>Раздел</t>
  </si>
  <si>
    <t>Под-раздел</t>
  </si>
  <si>
    <t>03ЯP5 15010</t>
  </si>
  <si>
    <t>03ЯP5 S5010</t>
  </si>
  <si>
    <t>06200 17000</t>
  </si>
  <si>
    <t>06200 17130</t>
  </si>
  <si>
    <t>02ЯA1 54540</t>
  </si>
  <si>
    <t>01400 04390</t>
  </si>
  <si>
    <t>06Я00 15490</t>
  </si>
  <si>
    <t>06Я00 S5490</t>
  </si>
  <si>
    <t>Реализация мероприятий, направленных на подготовку систем коммунальной инфраструктуры к работе в осенне-зимний период</t>
  </si>
  <si>
    <t>11Я0015240</t>
  </si>
  <si>
    <t>11Я00S5240</t>
  </si>
  <si>
    <t>Приобретение жилого помещения в рамках исполнения мирового соглашения</t>
  </si>
  <si>
    <t>м.б.</t>
  </si>
  <si>
    <t>06100 04390</t>
  </si>
  <si>
    <t>062N9 17130</t>
  </si>
  <si>
    <t>Оборудование (дооборудование) пляжей (мест отдыха людей у воды)</t>
  </si>
  <si>
    <t>05200 15220</t>
  </si>
  <si>
    <t>05200 S5220</t>
  </si>
  <si>
    <t>Обеспечение отопительного сезона</t>
  </si>
  <si>
    <t>04Я00 10000</t>
  </si>
  <si>
    <t>05Я00 04860</t>
  </si>
  <si>
    <t>Мероприятия по обеспечению безопасности населения</t>
  </si>
  <si>
    <t>06300 07000</t>
  </si>
  <si>
    <t>18.10.2023 (доп.)</t>
  </si>
  <si>
    <t>06Я00 1742Г</t>
  </si>
  <si>
    <t>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</si>
  <si>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04Я00 17520</t>
  </si>
  <si>
    <t>15.11.2023</t>
  </si>
  <si>
    <t>содерж</t>
  </si>
  <si>
    <t>Реализация мероприятий по обеспечению жильем молодых семей</t>
  </si>
  <si>
    <t>программы+улич+родит+ПФДО</t>
  </si>
  <si>
    <t>317,1+1155,6</t>
  </si>
  <si>
    <t>042Q0 16000</t>
  </si>
  <si>
    <t>042Q0 16130</t>
  </si>
  <si>
    <t>011Q0 17010</t>
  </si>
  <si>
    <t>011Q0 16000</t>
  </si>
  <si>
    <t>070F2 54240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</si>
  <si>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</si>
  <si>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102Q0 S5140</t>
  </si>
  <si>
    <t>01ЯA0 00000</t>
  </si>
  <si>
    <t>01ЯA1 00000</t>
  </si>
  <si>
    <t>Федеральный проект "Региональная и местная дорожная сеть"</t>
  </si>
  <si>
    <t>Подпрограмма «Развитие муниципального бюджетного учреждения культуры «Слободской музейно-выставочный центр»</t>
  </si>
  <si>
    <t>Поддержка отрасли культуры</t>
  </si>
  <si>
    <t>Развитие и укрепление материально-технической базы пожарных частей, расположенных на территории Кировской области</t>
  </si>
  <si>
    <t>05U0Ш 15070</t>
  </si>
  <si>
    <t>04Q10 17520</t>
  </si>
  <si>
    <t>Возмещение расходов по оказанию дополнительной меры  социальной поддержки для отдельных категорий граждан,  связанной с обеспечением и доставкой твердого топлива</t>
  </si>
  <si>
    <t>05U0Ш S5070</t>
  </si>
  <si>
    <t>Мероприятия за счет добровольных пожертвований ("Тёплое детство. Второй этап", ремонт отопительной системы и замена оконных блоков в здании МКУ ДО «Станция юных туристов и техников», ул. Кирова, д. 27, г. 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</si>
  <si>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("Тёплое детство. Второй этап", ремонт отопительной системы и замена оконных блоков в здании МКУ ДО «Станция юных туристов и техников», ул. Кирова, д. 27, г. Слободской)</t>
  </si>
  <si>
    <t>06UOF 15170</t>
  </si>
  <si>
    <t>06UOF 15171</t>
  </si>
  <si>
    <t>06UOF 04390</t>
  </si>
  <si>
    <t>06UOF 04391</t>
  </si>
  <si>
    <t>06UOF S5171</t>
  </si>
  <si>
    <t>Инвестиционные программы и проекты развития общественной инфраструктуры муниципальных образований в Кировской области ("Вектор футбола. IV этап", устройство беговых дорожек вокруг мини-футбольного поля,  ул. Железнодорожная, д. 11 а, г. Слободской)</t>
  </si>
  <si>
    <t>06UOF 0439I</t>
  </si>
  <si>
    <t>Мероприятия за счет добровольных пожертвований ("Вектор футбола. IV этап", устройство беговых дорожек вокруг мини-футбольного поля,  ул. Железнодорожная, д. 11 а, г. Слободской)</t>
  </si>
  <si>
    <t>06UOF S517I</t>
  </si>
  <si>
    <t>06UOF 1517I</t>
  </si>
  <si>
    <t>06UOF  04390</t>
  </si>
  <si>
    <t>06UOF 1517А</t>
  </si>
  <si>
    <t>06UOF S517А</t>
  </si>
  <si>
    <t>06UOF 0439А</t>
  </si>
  <si>
    <t>Инвестиционные программы и проекты развития общественной инфраструктуры муниципальных образований в Кировской области ("На встречу с музыкой", ремонт полов в здании муниципального бюджетного учреждения дополнительного образования "Детская школа искусств им. П.И. Чайковского", ул. Горького, д.4, г. Слободской)</t>
  </si>
  <si>
    <t>Мероприятия за счет добровольных пожертвований ("На встречу с музыкой", ремонт полов в здании муниципального бюджетного учреждения дополнительного образования "Детская школа искусств им. П.И. Чайковского", ул. Горького, д.4, г. Слободскойй)</t>
  </si>
  <si>
    <t>06UOF15170</t>
  </si>
  <si>
    <t>Инвестиционные программы и проекты развития общественной инфраструктуры муниципальных образований в Кировской области  ("Тихо валиком шурша, красим стены не спеша", ремонт помещений общего пользования в здании спорткомплекса "Мебельщик" МБУ ДО СШ г. Слободского,  ул. Рождественская, д.1"б", г. Слободской)</t>
  </si>
  <si>
    <t>Мероприятия за счет добровольных пожертвований ("Тихо валиком шурша, красим стены не спеша", ремонт помещений общего пользования в здании спорткомплекса "Мебельщик" МБУ ДО СШ г. Слободского,  ул. Рождественская, д.1"б", г. Слободской)</t>
  </si>
  <si>
    <t>02Q00 16000</t>
  </si>
  <si>
    <t>04Q00 16000</t>
  </si>
  <si>
    <t>09Q00 16000</t>
  </si>
  <si>
    <t>04Q00 16130</t>
  </si>
  <si>
    <t>01Q00 17000</t>
  </si>
  <si>
    <t>09Q00 00000</t>
  </si>
  <si>
    <t>01Q00 16000</t>
  </si>
  <si>
    <t>01Q00 15000</t>
  </si>
  <si>
    <t>01Q00 15060</t>
  </si>
  <si>
    <t>09Q00 15000</t>
  </si>
  <si>
    <t>09Q00 15560</t>
  </si>
  <si>
    <t>09Q00 S5560</t>
  </si>
  <si>
    <t>01ЯA1 L5190</t>
  </si>
  <si>
    <t>06Q00 15000</t>
  </si>
  <si>
    <t>01Q00 L3040</t>
  </si>
  <si>
    <t>10Q00 00000</t>
  </si>
  <si>
    <t>10Q00 15140</t>
  </si>
  <si>
    <t>10Q00 S5140</t>
  </si>
  <si>
    <t>01Q00 17180</t>
  </si>
  <si>
    <t>06U0F 04391</t>
  </si>
  <si>
    <t>06U0F 0439S</t>
  </si>
  <si>
    <t>06U0F 15170</t>
  </si>
  <si>
    <t>06U0F 15171</t>
  </si>
  <si>
    <t>06U0F1517S</t>
  </si>
  <si>
    <t>06U0F S5171</t>
  </si>
  <si>
    <t>06U0FS517S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</si>
  <si>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</si>
  <si>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 15000</t>
  </si>
  <si>
    <t>01U0У 15480</t>
  </si>
  <si>
    <t>01U0У S5480</t>
  </si>
  <si>
    <t>02ЯA0 00000</t>
  </si>
  <si>
    <t>02ЯA1 00000</t>
  </si>
  <si>
    <t>02ЯA1 55190</t>
  </si>
  <si>
    <t>070F2 A4240</t>
  </si>
  <si>
    <t>Финансовая поддержка детско-юношеского и массового спорта</t>
  </si>
  <si>
    <t>Инвестиционные программы и проекты развития общественной инфраструктуры муниципальных образований в Кировской области ("Нашим ножкам - ровную дорожку", благоустройство придомовой территории, ул.Рождественская, д.104, г.Слободской)</t>
  </si>
  <si>
    <t>06UOF 1517И</t>
  </si>
  <si>
    <t>Инвестиционные программы и проекты развития общественной инфраструктуры муниципальных образований в Кировской области ("Забыть Тояму Токанаву", благоустройство придомовой территории, ул.Корто, д.5а, г.Слободской)</t>
  </si>
  <si>
    <t>06UOF 1517Z</t>
  </si>
  <si>
    <t>06UOF 1517Э</t>
  </si>
  <si>
    <t>Инвестиционные программы и проекты развития общественной инфраструктуры муниципальных образований в Кировской области  ("Дорога достойной жизни", ремонт участка дороги по ул.Успенская от д.24 до д.43, г.Слободской)</t>
  </si>
  <si>
    <t>06UOF 1517В</t>
  </si>
  <si>
    <t>06UOFS517И</t>
  </si>
  <si>
    <t>06UOFS517Z</t>
  </si>
  <si>
    <t>Мероприятия за счет добровольных пожертвований ("Нашим ножкам - ровную дорожку", благоустройство придомовой территории, ул.Рождественская, д.104, г.Слободской)</t>
  </si>
  <si>
    <t>Мероприятия за счет добровольных пожертвований ("Забыть Тояму Токанаву", благоустройство придомовой территории, ул.Корто, д.5а, г.Слободской)</t>
  </si>
  <si>
    <t>06UOF 0439Z</t>
  </si>
  <si>
    <t>06UOF 0439И</t>
  </si>
  <si>
    <t>06UOFS517Э</t>
  </si>
  <si>
    <t>06UOF 0439Э</t>
  </si>
  <si>
    <t>06UOFS517В</t>
  </si>
  <si>
    <t>Мероприятия за счет добровольных пожертвований ("Дорога достойной жизни", ремонт участка дороги по ул.Успенская от д.24 до д.43, г.Слободской)</t>
  </si>
  <si>
    <t>06UOF 0439В</t>
  </si>
  <si>
    <t>март доп. поправка</t>
  </si>
  <si>
    <t>06Q28 S5550</t>
  </si>
  <si>
    <t>06Q28 15550</t>
  </si>
  <si>
    <t>05U0Ш 15220</t>
  </si>
  <si>
    <t>05U0Ш S5220</t>
  </si>
  <si>
    <t>Исполнение денежных обязательств муниципальных образований Кировской области в сфере жилищно-коммунального хозяйства</t>
  </si>
  <si>
    <t>010EГ15090</t>
  </si>
  <si>
    <t>010EГS5090</t>
  </si>
  <si>
    <t>Создание и развитие молодежных пространств</t>
  </si>
  <si>
    <t>01Q00 Q5060</t>
  </si>
  <si>
    <t>06UOF 15172</t>
  </si>
  <si>
    <t>Инвестиционные программы и проекты развития общественной инфраструктуры муниципальных образований в Кировской области ("Территоия добра", благоустройство придомовой территории, ул.Вятская,д.9ф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</si>
  <si>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("Дорога к храму", ремонт тротуаров по ул.Вятской от ул.Рождественской до ул.Гоголя по четной стороне, г.Слободской)</t>
  </si>
  <si>
    <t>обл.</t>
  </si>
  <si>
    <t>город.</t>
  </si>
  <si>
    <t>09Q0017430</t>
  </si>
  <si>
    <t>06UOF 04392</t>
  </si>
  <si>
    <t>Мероприятия за счет добровольных пожертвований ("Территоия добра", благоустройство придомовой территории, ул.Вятская,д.9ф г.Слободской)</t>
  </si>
  <si>
    <t>06UOF 04393</t>
  </si>
  <si>
    <t>Мероприятия за счет добровольных пожертвований ("Дорога к храму", ремонт тротуаров по ул.Вятской от ул.Рождественской до ул.Гоголя по четной стороне, г.Слободской)</t>
  </si>
  <si>
    <t>06UOFS5172</t>
  </si>
  <si>
    <t>06UOFS5173</t>
  </si>
  <si>
    <t>09Q5917430</t>
  </si>
  <si>
    <t>02Я00 04870</t>
  </si>
  <si>
    <t>Реализация проекта "Школа семейной истории "СоХРАНИ"</t>
  </si>
  <si>
    <t>Реализация инициатив населения в области образования</t>
  </si>
  <si>
    <t>01Q00 27000</t>
  </si>
  <si>
    <t>04Q00 16180</t>
  </si>
  <si>
    <t>Обеспечение бесплатным двухразовым питанием детей-инвалидов (инвалидов), не относящихся к категории лиц с ограниченными возможностями здоровья, обучающихся в муниципальных общеобразовательных организациях и не проживающих в них, а также выплата ежемесячной денежной компенсации родителям (законным представителям) детей-инвалидов, инвалидам в случае их обучения на дому</t>
  </si>
  <si>
    <t>01Q00 L3030</t>
  </si>
  <si>
    <t>06U00 17420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</si>
  <si>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образовательных организаций </t>
  </si>
  <si>
    <t>02Q0015600</t>
  </si>
  <si>
    <t>Достижение показателей деятельности органов исполнительной власти (органов местного самоуправления) Кировской области</t>
  </si>
  <si>
    <t>09Q0055490</t>
  </si>
  <si>
    <t xml:space="preserve">Иные межбюджетные трансферты на предоставление гранта муниципальным общеобразовательным организациям Кировской области, подготовившим обучающихся к сдаче единого государственного экзамена по математике (профильный уровень) и (или) физике </t>
  </si>
  <si>
    <t>01Q00 17580</t>
  </si>
  <si>
    <t>Капитальный ремонт, ремонт и содержание автомобильных дорог общего пользования местного значения и искусственных дорожных на них</t>
  </si>
  <si>
    <t>Национальный проект "Инфраструктура для жизни"</t>
  </si>
  <si>
    <t>060И0 00000</t>
  </si>
  <si>
    <t>060И8 00000</t>
  </si>
  <si>
    <t>обл и софин</t>
  </si>
  <si>
    <t>местн.бюдж. (программы)</t>
  </si>
  <si>
    <t>06100 9Д000</t>
  </si>
  <si>
    <t>06100 9Д180</t>
  </si>
  <si>
    <t>06100 9Д800</t>
  </si>
  <si>
    <t>06100 9Д418</t>
  </si>
  <si>
    <t>Расходы на ремонт и содержание автомобильных дорог</t>
  </si>
  <si>
    <t>Расходы на обеспечение транспортной безопасности объектов дорожного хозяйства</t>
  </si>
  <si>
    <t>Прочие расходы за счет бюджетных ассигнований дорожного фонда</t>
  </si>
  <si>
    <t>Работы по подготовке емкостей для хранения сжиженных углеводородных газов (СУГ) к освидетельствованию, проведение освидетельствования СУГ</t>
  </si>
  <si>
    <t>06200 04570</t>
  </si>
  <si>
    <t>12000 00000</t>
  </si>
  <si>
    <t>12000 04860</t>
  </si>
  <si>
    <t>Муниципальная программа "Профилактика терроризма и противодействие экстремизму в муниципальном образовании «город Слободской»</t>
  </si>
  <si>
    <t>содержание</t>
  </si>
  <si>
    <t>Реализация мероприятий по модернизации коммунальной инфраструктуры</t>
  </si>
  <si>
    <t>060И4 15370</t>
  </si>
  <si>
    <t>060И4 S5370</t>
  </si>
  <si>
    <t>Реализация мероприятий по устройству и (или) модернизации уличного освещения населенных пунктов</t>
  </si>
  <si>
    <t>06Q00 9Д152</t>
  </si>
  <si>
    <t>06Q00 SД152</t>
  </si>
  <si>
    <t>Капитальный ремонт, ремонт и содержание автомобильных дорог общего пользования местного значения с твердым покрытием</t>
  </si>
  <si>
    <t>03000 12000</t>
  </si>
  <si>
    <t>местн.</t>
  </si>
  <si>
    <t>010Ю650500</t>
  </si>
  <si>
    <t>Проведение мероприятий, посвященных юбилейным датам административных центров муниципальных образований Кировской области</t>
  </si>
  <si>
    <t>02Q0017560</t>
  </si>
  <si>
    <t>06UOF 1517Я</t>
  </si>
  <si>
    <t>06UOF 1517Ю</t>
  </si>
  <si>
    <t>06UOF 15174</t>
  </si>
  <si>
    <t>06UOF 15175</t>
  </si>
  <si>
    <t>06UOF 15176</t>
  </si>
  <si>
    <t>06UOF 15177</t>
  </si>
  <si>
    <t>06UOF 15178</t>
  </si>
  <si>
    <t>06UOF 15179</t>
  </si>
  <si>
    <t>06UOF 1517Ф</t>
  </si>
  <si>
    <t>06UOF S517Я</t>
  </si>
  <si>
    <t>06UOF S517Ю</t>
  </si>
  <si>
    <t>06UOF S5174</t>
  </si>
  <si>
    <t>06UOF S5175</t>
  </si>
  <si>
    <t>06UOF S5176</t>
  </si>
  <si>
    <t>06UOF S5177</t>
  </si>
  <si>
    <t>06UOF S5178</t>
  </si>
  <si>
    <t>06UOFS5179</t>
  </si>
  <si>
    <t>06UOFS517Ф</t>
  </si>
  <si>
    <t>06UOF 1517У</t>
  </si>
  <si>
    <t>06UOF 1517П</t>
  </si>
  <si>
    <t>06UOF 1517Ч</t>
  </si>
  <si>
    <t>06UOF 1517Ш</t>
  </si>
  <si>
    <t>06UOF 0439Я</t>
  </si>
  <si>
    <t>06UOF 0439Ю</t>
  </si>
  <si>
    <t>06UOF 04394</t>
  </si>
  <si>
    <t>06UOF 04395</t>
  </si>
  <si>
    <t>06UOF 04396</t>
  </si>
  <si>
    <t>06UOF 04397</t>
  </si>
  <si>
    <t>06UOF 04398</t>
  </si>
  <si>
    <t>06UOF 04399</t>
  </si>
  <si>
    <t>06UOF 0439Ф</t>
  </si>
  <si>
    <t>06UOF S517У</t>
  </si>
  <si>
    <t>06UOF S517П</t>
  </si>
  <si>
    <t>06UOF 0439У</t>
  </si>
  <si>
    <t>06UOF 0439П</t>
  </si>
  <si>
    <t>06UOF1517Л</t>
  </si>
  <si>
    <t>06UOF1517М</t>
  </si>
  <si>
    <t>06UOF1517Ц</t>
  </si>
  <si>
    <t>06UOF 0439SМ</t>
  </si>
  <si>
    <t>06UOF 0439Л</t>
  </si>
  <si>
    <t>06UOF 0439Ц</t>
  </si>
  <si>
    <t>06UOFS517М</t>
  </si>
  <si>
    <t>06UOFS517Л</t>
  </si>
  <si>
    <t>06UOFS517Ц</t>
  </si>
  <si>
    <t>06UOF S517Ч</t>
  </si>
  <si>
    <t>06UOF S517Ш</t>
  </si>
  <si>
    <t>06UOF 0439Ч</t>
  </si>
  <si>
    <t>06UOF 0439Ш</t>
  </si>
  <si>
    <t>06U0F 04394</t>
  </si>
  <si>
    <t>06U0F 04395</t>
  </si>
  <si>
    <t>06U0F 04396</t>
  </si>
  <si>
    <t>06U0F 04397</t>
  </si>
  <si>
    <t>06U0F 04398</t>
  </si>
  <si>
    <t>06U0F 04399</t>
  </si>
  <si>
    <t>06U0F 0439Ф</t>
  </si>
  <si>
    <t>06U0F 0439У</t>
  </si>
  <si>
    <t>06U0F 0439П</t>
  </si>
  <si>
    <t>06U0F 0439М</t>
  </si>
  <si>
    <t>06U0F 0439Л</t>
  </si>
  <si>
    <t>06U0F 0439Ч</t>
  </si>
  <si>
    <t>06U0F 0439Ц</t>
  </si>
  <si>
    <t>06U0F 0439Ш</t>
  </si>
  <si>
    <t>06U0F 15174</t>
  </si>
  <si>
    <t>06U0F 15175</t>
  </si>
  <si>
    <t>06U0F 15176</t>
  </si>
  <si>
    <t>06U0F 15177</t>
  </si>
  <si>
    <t>06U0F 15178</t>
  </si>
  <si>
    <t>06U0F 15179</t>
  </si>
  <si>
    <t>06U0F 1517Ф</t>
  </si>
  <si>
    <t>06U0F 1517У</t>
  </si>
  <si>
    <t>06U0F 1517П</t>
  </si>
  <si>
    <t>06U0F 1517М</t>
  </si>
  <si>
    <t>06U0F1517Л</t>
  </si>
  <si>
    <t>06U0F 1517Ч</t>
  </si>
  <si>
    <t>06U0F 1517Ц</t>
  </si>
  <si>
    <t>06U0F 1517Ш</t>
  </si>
  <si>
    <t>06U0F S517Я</t>
  </si>
  <si>
    <t>06U0F S517Ю</t>
  </si>
  <si>
    <t>06U0F S5174</t>
  </si>
  <si>
    <t>06U0F  S5175</t>
  </si>
  <si>
    <t>06U0F S5176</t>
  </si>
  <si>
    <t>06U0F S5177</t>
  </si>
  <si>
    <t>06U0F S5178</t>
  </si>
  <si>
    <t>06U0F S5179</t>
  </si>
  <si>
    <t>06U0F S517Ф</t>
  </si>
  <si>
    <t>06U0F S517У</t>
  </si>
  <si>
    <t>06U0F S517П</t>
  </si>
  <si>
    <t>06U0F S517М</t>
  </si>
  <si>
    <t>06U0F S517Л</t>
  </si>
  <si>
    <t>06U0F S517Ч</t>
  </si>
  <si>
    <t>06U0F S517Ц</t>
  </si>
  <si>
    <t>06U0F S517Ш</t>
  </si>
  <si>
    <t>Мероприятия за счет добровольных пожертвований («Городские тротуары», ремонт тротуаров по ул. Советской от ул. Энгельса до ул. П. Стучки по нечетной стороне, г. Слободской)</t>
  </si>
  <si>
    <t>Мероприятия за счет добровольных пожертвований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г.Слободской)</t>
  </si>
  <si>
    <t>Мероприятия за счет добровольных пожертвований ("Маршрут 12", устройство тротуаров по ул.Корто на участке от д.5 до д.5а, г.Слободской)</t>
  </si>
  <si>
    <t>Мероприятия за счет добровольных пожертвований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 )</t>
  </si>
  <si>
    <t>Мероприятия за счет добровольных пожертвований ("Преображение Загородной", устройство тротуаров по ул.Загородной от ул.Вятской до ул.Вятский Тракт по чётной стороне, г.Слободской)</t>
  </si>
  <si>
    <t>Мероприятия за счет добровольных пожертвований ("Первые шаги", устройство тротуаров с газоном по ул.А.С.Пушкина от ул.Советской до въезда на территорию КОГБУЗ "Слободская ЦРБ им. ак. А.Н. )</t>
  </si>
  <si>
    <t>Мероприятия за счет добровольных пожертвований ("Главнее некуда", асфальтирование Соборной площади, г.Слободской)</t>
  </si>
  <si>
    <t>Мероприятия за счет добровольных пожертвований ("Безопасная территория", благоустройство придомовой территории, ул. Г. Булатова, д.43, г.Слободской)</t>
  </si>
  <si>
    <t>Мероприятия за счет добровольных пожертвований ("Перемены в нашем дворе", устройство спортивной площадки и автомобильной парковки, ул.Кирова, д.16, г.Слободской)</t>
  </si>
  <si>
    <t>Мероприятия за счет добровольных пожертвований ("Приятный двор", устройство автомобильной парковки и установка спортивных тренажёров, ул.Слободская, д.48,  г.Слободской)</t>
  </si>
  <si>
    <t>Мероприятия за счет добровольных пожертвований ("Живые, помните о нас!", устройство памятника детям войны и труженикам тыла на аллее славы мемориала "Вечный огонь", г.Слободской)</t>
  </si>
  <si>
    <t>Мероприятия за счет добровольных пожертвований («Во имя мира на земле», проведение ландшафтных работ для подготовки территории, прилегающей к зданию по ул.Советской, д. 86, для последующей установки памятника Г. Булатову, г.Слободской)</t>
  </si>
  <si>
    <t>Мероприятия за счет добровольных пожертвований ("Вектор футбола. V этап", устройство мест для зрителей и озеленение вокруг мини-футбольного поля, ул.Железнодорожная, у д.11а, г.Слободской)</t>
  </si>
  <si>
    <t>Мероприятия за счет добровольных пожертвований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</si>
  <si>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>Мероприятия за счет добровольных пожертвований ("Дворцу культуры - красивую сцену", замена одежды сцены зрительного зала в здании МБУ ДК «Паруса», ул.Советская, д.100, г.Слободской)</t>
  </si>
  <si>
    <t>Мероприятия за счет добровольных пожертвований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</si>
  <si>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Мероприятия за счет добровольных пожертвований ("Светоч культуры",  капитальный ремонт системы электроснабжения в здании краеведческого музея  муниципального  бюджетного  учреждения культуры  "Слободской музейно-выставочный центр", ул. Советская, д. 91, г. 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</si>
  <si>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(«Городские тротуары», ремонт тротуаров по ул. Советской от ул. Энгельса до ул. П. Стучки по нечетной стороне, г. Слободской)</t>
  </si>
  <si>
    <t>Инвестиционные программы и проекты развития общественной инфраструктуры муниципальных образований в Кировской области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</si>
  <si>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("Маршрут 12", устройство тротуаров по ул.Корто на участке от д.5 до д.5а,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</si>
  <si>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 )</t>
  </si>
  <si>
    <t>Инвестиционные программы и проекты развития общественной инфраструктуры муниципальных образований в Кировской области  ("Преображение Загородной", устройство тротуаров по ул.Загородной от ул.Вятской до ул.Вятский Тракт по чётной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</si>
  <si>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(""Первые шаги", устройство тротуаров с газоном по ул.А.С.Пушкина от ул.Советской до въезда на территорию КОГБУЗ "Слободская ЦРБ им. ак. А.Н. Бакулева" по чётной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</si>
  <si>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("Главнее некуда", асфальтирование Соборной площади,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</si>
  <si>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("Безопасная территория", благоустройство придомовой территории, ул. Г. Булатова, д.43,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</si>
  <si>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("Перемены в нашем дворе", устройство спортивной площадки и автомобильной парковки, ул.Кирова, д.16,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</si>
  <si>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("Приятный двор", устройство автомобильной парковки и установка спортивных тренажёров, ул.Слободская, д.48, 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</si>
  <si>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("Живые, помните о нас!", устройство памятника детям войны и труженикам тыла на аллее славы мемориала "Вечный огонь", г.Слободской)</t>
  </si>
  <si>
    <t>Инвестиционные программы и проекты развития общественной инфраструктуры муниципальных образований в Кировской области («Во имя мира на земле», проведение ландшафтных работ для подготовки территории, прилегающей к зданию по ул.Советской, д. 86, для последующей установки памятника Г. Булатову,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</si>
  <si>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("Дворцу культуры - красивую сцену", замена одежды сцены зрительного зала в здании МБУ ДК «Паруса», ул.Советская, д.100, г.Слободской)</t>
  </si>
  <si>
    <t>Инвестиционные программы и проекты развития общественной инфраструктуры муниципальных образований в Кировской области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</si>
  <si>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>Инвестиционные программы и проекты развития общественной инфраструктуры муниципальных образований в Кировской области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</si>
  <si>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Инвестиционные программы и проекты развития общественной инфраструктуры муниципальных образований в Кировской области (""Светоч культуры",  капитальный ремонт системы электроснабжения в здании краеведческого музея  муниципального  бюджетного  учреждения культуры  "Слободской музейно-выставочный центр", ул. Советская, д. 91, г. Слободской)</t>
  </si>
  <si>
    <t>Инвестиционные программы и проекты развития общественной инфраструктуры муниципальных образований в Кировской области 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 )</t>
  </si>
  <si>
    <t>Инвестиционные программы и проекты развития общественной инфраструктуры муниципальных образований в Кировской области 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</si>
  <si>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  ("Первые шаги", устройство тротуаров с газоном по ул.А.С.Пушкина от ул.Советской до въезда на территорию КОГБУЗ "Слободская ЦРБ им. ак. А.Н. )</t>
  </si>
  <si>
    <t xml:space="preserve"> Инвестиционные программы и проекты развития общественной инфраструктуры муниципальных образований в Кировской области  ("Главнее некуда", асфальтирование Соборной площади,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</si>
  <si>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("Безопасная территория", благоустройство придомовой территории, ул. Г. Булатова, д.43,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</si>
  <si>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("Перемены в нашем дворе", устройство спортивной площадки и автомобильной парковки, ул.Кирова, д.16,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</si>
  <si>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("Приятный двор", устройство автомобильной парковки и установка спортивных тренажёров, ул.Слободская, д.48,  г.Слободской)</t>
  </si>
  <si>
    <t>Инвестиционные программы и проекты развития общественной инфраструктуры муниципальных образований в Кировской области ("Живые, помните о нас!", устройство памятника детям войны и труженикам тыла на аллее славы мемориала "Вечный огонь", г.Слободской)</t>
  </si>
  <si>
    <t>Инвестиционные программы и проекты развития общественной инфраструктуры муниципальных образований в Кировской области («Во имя мира на земле», проведение ландшафтных работ для подготовки территории, прилегающей к зданию по ул.Советской, д. 86, для последующей )</t>
  </si>
  <si>
    <t>Инвестиционные программы и проекты развития общественной инфраструктуры муниципальных образований в Кировской области ("Вектор футбола. V этап", устройство мест для зрителей и озеленение вокруг мини-футбольного поля, ул.Железнодорожная, у д.11а, г.Слободской)</t>
  </si>
  <si>
    <t>Инвестиционные программы и проекты развития общественной инфраструктуры муниципальных образований в Кировской области ("Светоч культуры",  капитальный ремонт системы электроснабжения в здании краеведческого музея  муниципального  бюджетного  учреждения культуры  "Слободской музейно-выставочный центр", ул. Советская, д. 91, г. Слободской)</t>
  </si>
  <si>
    <t>Инвестиционные программы и проекты развития общественной инфраструктуры муниципальных образований в Кировской области  («Городские тротуары», ремонт тротуаров по ул. Советской от ул. Энгельса до ул. П. Стучки по нечетной стороне, г. Слободской )</t>
  </si>
  <si>
    <t>Инвестиционные программы и проекты развития общественной инфраструктуры муниципальных образований в Кировской области 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</si>
  <si>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 ("Преображение Загородной", устройство тротуаров по ул.Загородной от ул.Вятской до ул.Вятский Тракт по чётной стороне,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</si>
  <si>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("Первые шаги", устройство тротуаров с газоном по ул.А.С.Пушкина от ул.Советской до въезда на территорию КОГБУЗ "Слободская ЦРБ им. ак. А.Н. Бакулева" по чётной стороне,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</si>
  <si>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("Главнее некуда", асфальтирование Соборной площади,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</si>
  <si>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("Перемены в нашем дворе", устройство спортивной площадки и автомобильной парковки, ул.Кирова, д.16,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</si>
  <si>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("Приятный двор", устройство автомобильной парковки и установка спортивных тренажёров, ул.Слободская, д.48,  г.Слободской)</t>
  </si>
  <si>
    <t>Мероприятия за счет добровольных пожертвований («Городские тротуары», ремонт тротуаров по ул. Советской от ул. Энгельса до ул. П. Стучки по нечетной стороне, г. Слободской )</t>
  </si>
  <si>
    <t>Мероприятия за счет добровольных пожертвований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г.Слободской)</t>
  </si>
  <si>
    <t>Мероприятия за счет добровольных пожертвований ("Первые шаги", устройство тротуаров с газоном по ул.А.С.Пушкина от ул.Советской до въезда на территорию КОГБУЗ "Слободская ЦРБ им. ак. А.Н. Бакулева" по чётной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</si>
  <si>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(«Во имя мира на земле», проведение ландшафтных работ для подготовки территории, прилегающей к зданию по ул.Советской, д. 86, для последующей установки памятника Г. Булатову, г.Слободскойй)</t>
  </si>
  <si>
    <t>Инвестиционные программы и проекты развития общественной инфраструктуры муниципальных образований в Кировской области  ("Вектор футбола. V этап", устройство мест для зрителей и озеленение вокруг мини-футбольного поля, ул.Железнодорожная, у д.11а,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</si>
  <si>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</si>
  <si>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</si>
  <si>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</si>
  <si>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</si>
  <si>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06U0FS517B</t>
  </si>
  <si>
    <t>06Q1417560</t>
  </si>
  <si>
    <t>04U0Y  L4970</t>
  </si>
  <si>
    <t>01400 04080</t>
  </si>
  <si>
    <t>04500 00000</t>
  </si>
  <si>
    <t>04500 04000</t>
  </si>
  <si>
    <t>04500 04080</t>
  </si>
  <si>
    <t>Подпрограмма «Обеспечение жильем молодых семей»</t>
  </si>
  <si>
    <t>01Q00 17280</t>
  </si>
  <si>
    <t xml:space="preserve">Иные межбюджетные трансферты на возмещение расходов, связанных с освобождением от платы, взимаемой с родителей (законных представителей) за присмотр и уход за ребенком участника специальной военной операции, посещающим на территории Кировской области муниципальную образовательную организацию, реализующую образовательную программу дошкольного образования
</t>
  </si>
  <si>
    <t>06U05 15490</t>
  </si>
  <si>
    <t>06U05 S5490</t>
  </si>
  <si>
    <t>доп. поправки</t>
  </si>
  <si>
    <t>03Я00 04090</t>
  </si>
  <si>
    <t>10U0597530</t>
  </si>
  <si>
    <t>Реализация инфрастуктурных проенктов (мероприятий) в 2025-2030 гг. в сфере жилищно-коммунального хозяйства</t>
  </si>
  <si>
    <t>Реализация мероприятий национального проекта "Молодежь и дети"</t>
  </si>
  <si>
    <t>014Ю6 00000</t>
  </si>
  <si>
    <t>014Ю6 51790</t>
  </si>
  <si>
    <t>Реализация мероприятий национального проекта " "Молодежь и дети""</t>
  </si>
  <si>
    <t>010Ю6 53030</t>
  </si>
  <si>
    <t>060И8 9Д155</t>
  </si>
  <si>
    <t>060И8 SД155</t>
  </si>
  <si>
    <t>070И0 00000</t>
  </si>
  <si>
    <t>Реализация мероприятий национального проекта «Инфраструктура для жизни"</t>
  </si>
  <si>
    <t>070И4 00000</t>
  </si>
  <si>
    <t>070И4 55550</t>
  </si>
  <si>
    <t>доп. поправка</t>
  </si>
  <si>
    <t>110И2 67483</t>
  </si>
  <si>
    <t>110И2 67484</t>
  </si>
  <si>
    <t>Обеспечение мероприятий по переселению граждан из аварийного жилищного фонда за счет средств Фонда развития территорий</t>
  </si>
  <si>
    <t>Обеспечение мероприятий по переселению граждан из аварийного жилищного фонда за счет средств бюджета города</t>
  </si>
  <si>
    <t>110И2 6748S</t>
  </si>
  <si>
    <t>доп. изм</t>
  </si>
  <si>
    <t>Модернизация учреждений культуры, включая создание детских культурно-просветительских центров на базе учреждений культуры</t>
  </si>
  <si>
    <t>Осуществление капитального ремонта объектов спортивной инфраструктуры государственной собственности субъектов Российской Федерации (муниципальной собственности)</t>
  </si>
  <si>
    <t>Реализация мероприятий по модернизации школьных систем образования</t>
  </si>
  <si>
    <t>Мероприятия по обустройству пешеходных переходов на автомобильных дорогах общего пользования местного значения</t>
  </si>
  <si>
    <t>ком.усл</t>
  </si>
  <si>
    <t>связь, налог на им, тр налог</t>
  </si>
  <si>
    <t>ежегодн услуги, шк разв, долг</t>
  </si>
  <si>
    <t>Программы</t>
  </si>
  <si>
    <t>Итого</t>
  </si>
  <si>
    <t>02Q11 06170</t>
  </si>
  <si>
    <t>04Q03 06070</t>
  </si>
  <si>
    <t>09Q25 06140</t>
  </si>
  <si>
    <t>04Q03 06060</t>
  </si>
  <si>
    <t>04U35 R0820</t>
  </si>
  <si>
    <t>04Q13 09750</t>
  </si>
  <si>
    <t>04Q25 06150</t>
  </si>
  <si>
    <t>01Q02 06030</t>
  </si>
  <si>
    <t>01Q02 06010</t>
  </si>
  <si>
    <t>04Q02 06040</t>
  </si>
  <si>
    <t>01Q02 06050</t>
  </si>
  <si>
    <t>01Q08 00180</t>
  </si>
  <si>
    <t>01Q08 S0180</t>
  </si>
  <si>
    <t>020Я5 L5190</t>
  </si>
  <si>
    <t>070И4 54240</t>
  </si>
  <si>
    <t>04U35 L4970</t>
  </si>
  <si>
    <t>020Я5 53490</t>
  </si>
  <si>
    <t>03U08 А1390</t>
  </si>
  <si>
    <t>01U03 А2391</t>
  </si>
  <si>
    <t>06Q20 9Д154</t>
  </si>
  <si>
    <t>06Q20 SД154</t>
  </si>
  <si>
    <t>04Q25 05110</t>
  </si>
  <si>
    <t>04Q25 S5110</t>
  </si>
  <si>
    <t>10U09 29110</t>
  </si>
  <si>
    <t>01Q02 07010</t>
  </si>
  <si>
    <t>03U08 07070</t>
  </si>
  <si>
    <t>01Q02 07020</t>
  </si>
  <si>
    <t>з/пл м.б.</t>
  </si>
  <si>
    <t>04U35 06093</t>
  </si>
  <si>
    <t>09Q50 51200</t>
  </si>
  <si>
    <t>09U29 05160</t>
  </si>
  <si>
    <t>09U29 S5160</t>
  </si>
  <si>
    <t>06Q20 9Д151</t>
  </si>
  <si>
    <t>06Q20 SД151</t>
  </si>
  <si>
    <t>Сумма на 2026 год                 (тыс. руб.)</t>
  </si>
  <si>
    <t xml:space="preserve">Реализация мероприятий по обеспечению сохранности воинских захоронений на территории Российской Федерации </t>
  </si>
  <si>
    <t>02Q11 L2030</t>
  </si>
  <si>
    <t>03U08 05280</t>
  </si>
  <si>
    <t>Развитие спортивной инфраструктуры и улучшение материально-технической базы объектов спорта</t>
  </si>
  <si>
    <t xml:space="preserve">                                                                                                                  от 22.12.2025  № 71/441</t>
  </si>
  <si>
    <t xml:space="preserve">                                                                                                                                   от 22.12.2025  № 71/441</t>
  </si>
  <si>
    <t xml:space="preserve">                                                                                                                                                         от 22.12.2025  № 71/441</t>
  </si>
  <si>
    <t>Сумма на 2026 год   (тыс. руб.)</t>
  </si>
  <si>
    <t>Сумма на 2026 год (тыс.рублей)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</si>
</sst>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0.0"/>
    <numFmt numFmtId="166" formatCode="0.00000"/>
    <numFmt numFmtId="167" formatCode="0.000"/>
  </numFmts>
  <fonts count="5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55"/>
      <name val="Calibri"/>
      <family val="2"/>
      <charset val="204"/>
    </font>
    <font>
      <sz val="11"/>
      <color indexed="14"/>
      <name val="Calibri"/>
      <family val="2"/>
      <charset val="204"/>
    </font>
    <font>
      <sz val="11"/>
      <color indexed="54"/>
      <name val="Calibri"/>
      <family val="2"/>
      <charset val="204"/>
    </font>
    <font>
      <b/>
      <sz val="11"/>
      <color indexed="55"/>
      <name val="Calibri"/>
      <family val="2"/>
      <charset val="204"/>
    </font>
    <font>
      <b/>
      <sz val="11"/>
      <color indexed="44"/>
      <name val="Calibri"/>
      <family val="2"/>
      <charset val="204"/>
    </font>
    <font>
      <sz val="11"/>
      <color indexed="55"/>
      <name val="Calibri"/>
      <family val="2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14"/>
      <name val="Calibri"/>
      <family val="2"/>
      <charset val="204"/>
    </font>
    <font>
      <b/>
      <sz val="18"/>
      <color indexed="54"/>
      <name val="Cambria"/>
      <family val="2"/>
      <charset val="204"/>
    </font>
    <font>
      <sz val="11"/>
      <color indexed="52"/>
      <name val="Calibri"/>
      <family val="2"/>
      <charset val="204"/>
    </font>
    <font>
      <sz val="11"/>
      <color indexed="12"/>
      <name val="Calibri"/>
      <family val="2"/>
      <charset val="204"/>
    </font>
    <font>
      <sz val="11"/>
      <color indexed="44"/>
      <name val="Calibri"/>
      <family val="2"/>
      <charset val="204"/>
    </font>
    <font>
      <sz val="11"/>
      <color indexed="45"/>
      <name val="Calibri"/>
      <family val="2"/>
      <charset val="204"/>
    </font>
    <font>
      <sz val="11"/>
      <color indexed="9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55"/>
      <name val="Times New Roman"/>
      <family val="1"/>
      <charset val="204"/>
    </font>
    <font>
      <sz val="14"/>
      <color indexed="5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55"/>
      <name val="Calibri"/>
      <family val="2"/>
      <charset val="1"/>
    </font>
    <font>
      <b/>
      <sz val="11"/>
      <color indexed="55"/>
      <name val="Calibri"/>
      <family val="2"/>
      <charset val="1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Arial Cyr"/>
      <charset val="204"/>
    </font>
    <font>
      <sz val="14"/>
      <color theme="1"/>
      <name val="Times New Roman"/>
      <family val="1"/>
      <charset val="204"/>
    </font>
    <font>
      <b/>
      <sz val="14"/>
      <name val="Arial Cyr"/>
      <charset val="204"/>
    </font>
    <font>
      <b/>
      <sz val="14"/>
      <color theme="1"/>
      <name val="Times New Roman"/>
      <family val="1"/>
      <charset val="204"/>
    </font>
    <font>
      <b/>
      <sz val="12"/>
      <name val="Arial Cyr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sz val="14"/>
      <color theme="1"/>
      <name val="Times New Roman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14"/>
      </patternFill>
    </fill>
    <fill>
      <patternFill patternType="solid">
        <fgColor indexed="39"/>
      </patternFill>
    </fill>
    <fill>
      <patternFill patternType="solid">
        <fgColor indexed="18"/>
      </patternFill>
    </fill>
    <fill>
      <patternFill patternType="solid">
        <fgColor indexed="19"/>
      </patternFill>
    </fill>
    <fill>
      <patternFill patternType="solid">
        <fgColor indexed="21"/>
      </patternFill>
    </fill>
    <fill>
      <patternFill patternType="solid">
        <fgColor indexed="35"/>
      </patternFill>
    </fill>
    <fill>
      <patternFill patternType="solid">
        <fgColor indexed="36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9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37"/>
      </patternFill>
    </fill>
    <fill>
      <patternFill patternType="solid">
        <fgColor indexed="18"/>
        <bgColor indexed="14"/>
      </patternFill>
    </fill>
    <fill>
      <patternFill patternType="solid">
        <fgColor indexed="34"/>
      </patternFill>
    </fill>
    <fill>
      <patternFill patternType="solid">
        <fgColor indexed="34"/>
        <bgColor indexed="19"/>
      </patternFill>
    </fill>
    <fill>
      <patternFill patternType="solid">
        <fgColor indexed="34"/>
        <bgColor indexed="64"/>
      </patternFill>
    </fill>
    <fill>
      <patternFill patternType="solid">
        <fgColor rgb="FFFFFFCC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1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ck">
        <color indexed="41"/>
      </bottom>
      <diagonal/>
    </border>
    <border>
      <left/>
      <right/>
      <top/>
      <bottom style="thick">
        <color indexed="14"/>
      </bottom>
      <diagonal/>
    </border>
    <border>
      <left/>
      <right/>
      <top/>
      <bottom style="medium">
        <color indexed="41"/>
      </bottom>
      <diagonal/>
    </border>
    <border>
      <left/>
      <right/>
      <top style="thin">
        <color indexed="41"/>
      </top>
      <bottom style="double">
        <color indexed="41"/>
      </bottom>
      <diagonal/>
    </border>
    <border>
      <left style="double">
        <color indexed="55"/>
      </left>
      <right style="double">
        <color indexed="55"/>
      </right>
      <top style="double">
        <color indexed="55"/>
      </top>
      <bottom style="double">
        <color indexed="55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/>
      <top/>
      <bottom style="double">
        <color indexed="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6" fillId="3" borderId="1" applyNumberFormat="0" applyAlignment="0" applyProtection="0"/>
    <xf numFmtId="0" fontId="7" fillId="2" borderId="2" applyNumberFormat="0" applyAlignment="0" applyProtection="0"/>
    <xf numFmtId="0" fontId="8" fillId="2" borderId="1" applyNumberFormat="0" applyAlignment="0" applyProtection="0"/>
    <xf numFmtId="16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7" fillId="0" borderId="6" applyNumberFormat="0" applyFill="0" applyAlignment="0" applyProtection="0"/>
    <xf numFmtId="0" fontId="13" fillId="10" borderId="7" applyNumberFormat="0" applyAlignment="0" applyProtection="0"/>
    <xf numFmtId="0" fontId="14" fillId="0" borderId="0" applyNumberFormat="0" applyFill="0" applyBorder="0" applyAlignment="0" applyProtection="0"/>
    <xf numFmtId="0" fontId="15" fillId="7" borderId="0" applyNumberFormat="0" applyBorder="0" applyAlignment="0" applyProtection="0"/>
    <xf numFmtId="0" fontId="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15" borderId="0" applyNumberFormat="0" applyBorder="0" applyAlignment="0" applyProtection="0"/>
    <xf numFmtId="0" fontId="4" fillId="16" borderId="8" applyProtection="0"/>
    <xf numFmtId="0" fontId="34" fillId="20" borderId="14" applyProtection="0"/>
    <xf numFmtId="0" fontId="4" fillId="4" borderId="8" applyNumberFormat="0" applyFont="0" applyAlignment="0" applyProtection="0"/>
    <xf numFmtId="0" fontId="4" fillId="4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4" fillId="0" borderId="0"/>
    <xf numFmtId="0" fontId="41" fillId="0" borderId="0"/>
    <xf numFmtId="43" fontId="34" fillId="0" borderId="0" applyFont="0" applyFill="0" applyBorder="0" applyAlignment="0" applyProtection="0"/>
    <xf numFmtId="0" fontId="1" fillId="0" borderId="0"/>
    <xf numFmtId="0" fontId="46" fillId="0" borderId="0"/>
    <xf numFmtId="43" fontId="3" fillId="0" borderId="0" applyFon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</cellStyleXfs>
  <cellXfs count="308">
    <xf numFmtId="0" fontId="0" fillId="0" borderId="0" xfId="0"/>
    <xf numFmtId="0" fontId="20" fillId="0" borderId="10" xfId="0" applyFont="1" applyBorder="1" applyAlignment="1">
      <alignment horizontal="center"/>
    </xf>
    <xf numFmtId="0" fontId="20" fillId="0" borderId="10" xfId="0" applyFont="1" applyBorder="1" applyAlignment="1">
      <alignment wrapText="1"/>
    </xf>
    <xf numFmtId="0" fontId="20" fillId="0" borderId="0" xfId="0" applyFont="1"/>
    <xf numFmtId="49" fontId="20" fillId="0" borderId="0" xfId="0" applyNumberFormat="1" applyFont="1"/>
    <xf numFmtId="49" fontId="20" fillId="0" borderId="10" xfId="0" applyNumberFormat="1" applyFont="1" applyBorder="1"/>
    <xf numFmtId="49" fontId="20" fillId="0" borderId="10" xfId="60" applyNumberFormat="1" applyFont="1" applyFill="1" applyBorder="1" applyAlignment="1">
      <alignment horizontal="center" wrapText="1"/>
    </xf>
    <xf numFmtId="165" fontId="20" fillId="0" borderId="10" xfId="60" applyNumberFormat="1" applyFont="1" applyFill="1" applyBorder="1" applyAlignment="1">
      <alignment horizontal="center" wrapText="1"/>
    </xf>
    <xf numFmtId="11" fontId="20" fillId="0" borderId="10" xfId="60" applyNumberFormat="1" applyFont="1" applyFill="1" applyBorder="1" applyAlignment="1">
      <alignment horizontal="center" wrapText="1"/>
    </xf>
    <xf numFmtId="49" fontId="23" fillId="0" borderId="10" xfId="60" applyNumberFormat="1" applyFont="1" applyFill="1" applyBorder="1" applyAlignment="1">
      <alignment horizontal="center"/>
    </xf>
    <xf numFmtId="0" fontId="23" fillId="18" borderId="10" xfId="60" applyFont="1" applyFill="1" applyBorder="1" applyAlignment="1">
      <alignment horizontal="center" wrapText="1"/>
    </xf>
    <xf numFmtId="49" fontId="23" fillId="18" borderId="10" xfId="60" applyNumberFormat="1" applyFont="1" applyFill="1" applyBorder="1" applyAlignment="1">
      <alignment horizontal="center"/>
    </xf>
    <xf numFmtId="0" fontId="23" fillId="0" borderId="10" xfId="60" applyFont="1" applyFill="1" applyBorder="1" applyAlignment="1">
      <alignment horizontal="center" wrapText="1"/>
    </xf>
    <xf numFmtId="0" fontId="20" fillId="0" borderId="10" xfId="60" applyFont="1" applyFill="1" applyBorder="1" applyAlignment="1">
      <alignment horizontal="center" wrapText="1"/>
    </xf>
    <xf numFmtId="49" fontId="20" fillId="0" borderId="10" xfId="60" applyNumberFormat="1" applyFont="1" applyFill="1" applyBorder="1" applyAlignment="1">
      <alignment horizontal="center"/>
    </xf>
    <xf numFmtId="49" fontId="20" fillId="0" borderId="10" xfId="0" applyNumberFormat="1" applyFont="1" applyBorder="1" applyAlignment="1">
      <alignment horizontal="center"/>
    </xf>
    <xf numFmtId="0" fontId="20" fillId="0" borderId="10" xfId="60" applyFont="1" applyFill="1" applyBorder="1" applyAlignment="1">
      <alignment wrapText="1"/>
    </xf>
    <xf numFmtId="49" fontId="25" fillId="0" borderId="10" xfId="60" applyNumberFormat="1" applyFont="1" applyFill="1" applyBorder="1" applyAlignment="1">
      <alignment horizontal="center" wrapText="1"/>
    </xf>
    <xf numFmtId="49" fontId="23" fillId="18" borderId="10" xfId="60" applyNumberFormat="1" applyFont="1" applyFill="1" applyBorder="1" applyAlignment="1">
      <alignment horizontal="center" wrapText="1"/>
    </xf>
    <xf numFmtId="49" fontId="23" fillId="0" borderId="10" xfId="60" applyNumberFormat="1" applyFont="1" applyFill="1" applyBorder="1" applyAlignment="1">
      <alignment horizontal="center" wrapText="1"/>
    </xf>
    <xf numFmtId="49" fontId="20" fillId="0" borderId="10" xfId="43" applyNumberFormat="1" applyFont="1" applyFill="1" applyBorder="1" applyAlignment="1">
      <alignment horizontal="center"/>
    </xf>
    <xf numFmtId="49" fontId="23" fillId="0" borderId="10" xfId="0" applyNumberFormat="1" applyFont="1" applyBorder="1" applyAlignment="1">
      <alignment horizontal="center"/>
    </xf>
    <xf numFmtId="0" fontId="23" fillId="0" borderId="10" xfId="60" applyFont="1" applyFill="1" applyBorder="1" applyAlignment="1">
      <alignment horizontal="center"/>
    </xf>
    <xf numFmtId="0" fontId="20" fillId="0" borderId="10" xfId="60" applyFont="1" applyFill="1" applyBorder="1" applyAlignment="1">
      <alignment horizontal="center"/>
    </xf>
    <xf numFmtId="0" fontId="20" fillId="0" borderId="10" xfId="0" applyFont="1" applyBorder="1" applyAlignment="1">
      <alignment horizontal="center" wrapText="1"/>
    </xf>
    <xf numFmtId="0" fontId="23" fillId="0" borderId="10" xfId="47" applyFont="1" applyFill="1" applyBorder="1" applyAlignment="1">
      <alignment horizontal="center" wrapText="1"/>
    </xf>
    <xf numFmtId="49" fontId="23" fillId="0" borderId="10" xfId="47" applyNumberFormat="1" applyFont="1" applyFill="1" applyBorder="1" applyAlignment="1">
      <alignment horizontal="center"/>
    </xf>
    <xf numFmtId="49" fontId="23" fillId="0" borderId="10" xfId="43" applyNumberFormat="1" applyFont="1" applyFill="1" applyBorder="1" applyAlignment="1">
      <alignment horizontal="center"/>
    </xf>
    <xf numFmtId="0" fontId="20" fillId="0" borderId="10" xfId="47" applyFont="1" applyFill="1" applyBorder="1" applyAlignment="1">
      <alignment horizontal="center" wrapText="1"/>
    </xf>
    <xf numFmtId="49" fontId="20" fillId="0" borderId="10" xfId="47" applyNumberFormat="1" applyFont="1" applyFill="1" applyBorder="1" applyAlignment="1">
      <alignment horizontal="center"/>
    </xf>
    <xf numFmtId="49" fontId="20" fillId="0" borderId="10" xfId="47" applyNumberFormat="1" applyFont="1" applyFill="1" applyBorder="1" applyAlignment="1">
      <alignment horizontal="center" wrapText="1"/>
    </xf>
    <xf numFmtId="49" fontId="20" fillId="0" borderId="10" xfId="39" applyNumberFormat="1" applyFont="1" applyBorder="1" applyAlignment="1">
      <alignment horizontal="center"/>
    </xf>
    <xf numFmtId="49" fontId="20" fillId="0" borderId="10" xfId="47" applyNumberFormat="1" applyFont="1" applyBorder="1" applyAlignment="1">
      <alignment horizontal="center" wrapText="1"/>
    </xf>
    <xf numFmtId="165" fontId="20" fillId="0" borderId="10" xfId="60" applyNumberFormat="1" applyFont="1" applyFill="1" applyBorder="1"/>
    <xf numFmtId="165" fontId="20" fillId="0" borderId="10" xfId="60" applyNumberFormat="1" applyFont="1" applyFill="1" applyBorder="1" applyAlignment="1">
      <alignment horizontal="right"/>
    </xf>
    <xf numFmtId="165" fontId="20" fillId="0" borderId="10" xfId="60" applyNumberFormat="1" applyFont="1" applyFill="1" applyBorder="1" applyAlignment="1"/>
    <xf numFmtId="49" fontId="20" fillId="0" borderId="10" xfId="0" applyNumberFormat="1" applyFont="1" applyFill="1" applyBorder="1" applyAlignment="1">
      <alignment horizontal="center"/>
    </xf>
    <xf numFmtId="0" fontId="34" fillId="0" borderId="0" xfId="38"/>
    <xf numFmtId="0" fontId="28" fillId="0" borderId="0" xfId="61" applyFont="1" applyFill="1" applyBorder="1"/>
    <xf numFmtId="0" fontId="28" fillId="0" borderId="0" xfId="61" applyFont="1" applyFill="1" applyBorder="1" applyAlignment="1">
      <alignment wrapText="1"/>
    </xf>
    <xf numFmtId="11" fontId="23" fillId="0" borderId="10" xfId="61" applyNumberFormat="1" applyFont="1" applyFill="1" applyBorder="1" applyAlignment="1">
      <alignment wrapText="1"/>
    </xf>
    <xf numFmtId="49" fontId="23" fillId="0" borderId="10" xfId="61" applyNumberFormat="1" applyFont="1" applyFill="1" applyBorder="1" applyAlignment="1">
      <alignment horizontal="center"/>
    </xf>
    <xf numFmtId="0" fontId="29" fillId="0" borderId="0" xfId="61" applyFont="1" applyFill="1" applyBorder="1"/>
    <xf numFmtId="165" fontId="29" fillId="0" borderId="0" xfId="61" applyNumberFormat="1" applyFont="1" applyFill="1" applyBorder="1"/>
    <xf numFmtId="49" fontId="20" fillId="0" borderId="10" xfId="61" applyNumberFormat="1" applyFont="1" applyFill="1" applyBorder="1" applyAlignment="1">
      <alignment horizontal="center"/>
    </xf>
    <xf numFmtId="165" fontId="20" fillId="0" borderId="10" xfId="38" applyNumberFormat="1" applyFont="1" applyBorder="1"/>
    <xf numFmtId="165" fontId="20" fillId="0" borderId="10" xfId="61" applyNumberFormat="1" applyFont="1" applyFill="1" applyBorder="1"/>
    <xf numFmtId="165" fontId="34" fillId="0" borderId="0" xfId="38" applyNumberFormat="1"/>
    <xf numFmtId="0" fontId="20" fillId="0" borderId="10" xfId="61" applyFont="1" applyFill="1" applyBorder="1" applyAlignment="1">
      <alignment wrapText="1"/>
    </xf>
    <xf numFmtId="0" fontId="20" fillId="0" borderId="10" xfId="61" applyFont="1" applyFill="1" applyBorder="1" applyAlignment="1">
      <alignment horizontal="center" wrapText="1"/>
    </xf>
    <xf numFmtId="0" fontId="30" fillId="0" borderId="0" xfId="61" applyFont="1" applyFill="1" applyBorder="1"/>
    <xf numFmtId="11" fontId="20" fillId="0" borderId="10" xfId="38" applyNumberFormat="1" applyFont="1" applyBorder="1" applyAlignment="1">
      <alignment vertical="top" wrapText="1"/>
    </xf>
    <xf numFmtId="0" fontId="20" fillId="0" borderId="11" xfId="61" applyFont="1" applyFill="1" applyBorder="1" applyAlignment="1">
      <alignment wrapText="1"/>
    </xf>
    <xf numFmtId="11" fontId="20" fillId="0" borderId="11" xfId="61" applyNumberFormat="1" applyFont="1" applyFill="1" applyBorder="1" applyAlignment="1">
      <alignment wrapText="1"/>
    </xf>
    <xf numFmtId="0" fontId="31" fillId="0" borderId="0" xfId="61" applyFont="1" applyFill="1" applyBorder="1"/>
    <xf numFmtId="0" fontId="20" fillId="0" borderId="10" xfId="61" applyFont="1" applyFill="1" applyBorder="1" applyAlignment="1"/>
    <xf numFmtId="0" fontId="20" fillId="0" borderId="10" xfId="61" applyFont="1" applyFill="1" applyBorder="1" applyAlignment="1">
      <alignment horizontal="center"/>
    </xf>
    <xf numFmtId="165" fontId="20" fillId="0" borderId="10" xfId="0" applyNumberFormat="1" applyFont="1" applyBorder="1"/>
    <xf numFmtId="0" fontId="20" fillId="0" borderId="12" xfId="61" applyFont="1" applyFill="1" applyBorder="1" applyAlignment="1">
      <alignment horizontal="center" wrapText="1"/>
    </xf>
    <xf numFmtId="0" fontId="21" fillId="0" borderId="0" xfId="0" applyFont="1" applyBorder="1"/>
    <xf numFmtId="49" fontId="21" fillId="0" borderId="0" xfId="0" applyNumberFormat="1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0" fillId="0" borderId="0" xfId="0" applyBorder="1"/>
    <xf numFmtId="49" fontId="33" fillId="0" borderId="10" xfId="0" applyNumberFormat="1" applyFont="1" applyBorder="1" applyAlignment="1">
      <alignment horizontal="center"/>
    </xf>
    <xf numFmtId="49" fontId="33" fillId="0" borderId="10" xfId="60" applyNumberFormat="1" applyFont="1" applyFill="1" applyBorder="1" applyAlignment="1">
      <alignment horizontal="center"/>
    </xf>
    <xf numFmtId="49" fontId="33" fillId="0" borderId="10" xfId="39" applyNumberFormat="1" applyFont="1" applyBorder="1" applyAlignment="1">
      <alignment horizontal="center"/>
    </xf>
    <xf numFmtId="49" fontId="33" fillId="0" borderId="10" xfId="43" applyNumberFormat="1" applyFont="1" applyFill="1" applyBorder="1" applyAlignment="1">
      <alignment horizontal="center"/>
    </xf>
    <xf numFmtId="49" fontId="24" fillId="0" borderId="10" xfId="60" applyNumberFormat="1" applyFont="1" applyFill="1" applyBorder="1" applyAlignment="1">
      <alignment horizontal="center"/>
    </xf>
    <xf numFmtId="165" fontId="23" fillId="0" borderId="10" xfId="0" applyNumberFormat="1" applyFont="1" applyBorder="1"/>
    <xf numFmtId="49" fontId="20" fillId="0" borderId="10" xfId="0" applyNumberFormat="1" applyFont="1" applyBorder="1" applyAlignment="1">
      <alignment horizontal="center" vertical="top"/>
    </xf>
    <xf numFmtId="0" fontId="20" fillId="0" borderId="12" xfId="60" applyFont="1" applyFill="1" applyBorder="1" applyAlignment="1">
      <alignment horizontal="center" wrapText="1"/>
    </xf>
    <xf numFmtId="165" fontId="23" fillId="19" borderId="10" xfId="0" applyNumberFormat="1" applyFont="1" applyFill="1" applyBorder="1"/>
    <xf numFmtId="165" fontId="20" fillId="0" borderId="10" xfId="0" applyNumberFormat="1" applyFont="1" applyFill="1" applyBorder="1"/>
    <xf numFmtId="49" fontId="25" fillId="0" borderId="10" xfId="61" applyNumberFormat="1" applyFont="1" applyFill="1" applyBorder="1" applyAlignment="1">
      <alignment horizontal="center" wrapText="1"/>
    </xf>
    <xf numFmtId="0" fontId="23" fillId="0" borderId="10" xfId="61" applyFont="1" applyFill="1" applyBorder="1" applyAlignment="1">
      <alignment horizontal="center" wrapText="1"/>
    </xf>
    <xf numFmtId="49" fontId="20" fillId="0" borderId="11" xfId="61" applyNumberFormat="1" applyFont="1" applyFill="1" applyBorder="1" applyAlignment="1">
      <alignment horizontal="center"/>
    </xf>
    <xf numFmtId="49" fontId="23" fillId="0" borderId="10" xfId="0" applyNumberFormat="1" applyFont="1" applyFill="1" applyBorder="1" applyAlignment="1">
      <alignment horizontal="center"/>
    </xf>
    <xf numFmtId="49" fontId="33" fillId="0" borderId="10" xfId="0" applyNumberFormat="1" applyFont="1" applyBorder="1" applyAlignment="1"/>
    <xf numFmtId="49" fontId="20" fillId="0" borderId="10" xfId="0" applyNumberFormat="1" applyFont="1" applyBorder="1" applyAlignment="1"/>
    <xf numFmtId="0" fontId="35" fillId="0" borderId="0" xfId="0" applyFont="1"/>
    <xf numFmtId="2" fontId="35" fillId="0" borderId="0" xfId="0" applyNumberFormat="1" applyFont="1"/>
    <xf numFmtId="2" fontId="0" fillId="0" borderId="0" xfId="0" applyNumberFormat="1"/>
    <xf numFmtId="165" fontId="20" fillId="0" borderId="0" xfId="0" applyNumberFormat="1" applyFont="1" applyBorder="1"/>
    <xf numFmtId="49" fontId="23" fillId="0" borderId="12" xfId="60" applyNumberFormat="1" applyFont="1" applyFill="1" applyBorder="1" applyAlignment="1">
      <alignment horizontal="center"/>
    </xf>
    <xf numFmtId="0" fontId="23" fillId="0" borderId="12" xfId="60" applyFont="1" applyFill="1" applyBorder="1" applyAlignment="1">
      <alignment horizontal="center" wrapText="1"/>
    </xf>
    <xf numFmtId="49" fontId="20" fillId="0" borderId="12" xfId="60" applyNumberFormat="1" applyFont="1" applyFill="1" applyBorder="1" applyAlignment="1">
      <alignment horizontal="center"/>
    </xf>
    <xf numFmtId="2" fontId="23" fillId="0" borderId="15" xfId="0" applyNumberFormat="1" applyFont="1" applyFill="1" applyBorder="1"/>
    <xf numFmtId="165" fontId="20" fillId="22" borderId="10" xfId="0" applyNumberFormat="1" applyFont="1" applyFill="1" applyBorder="1"/>
    <xf numFmtId="165" fontId="0" fillId="0" borderId="0" xfId="0" applyNumberFormat="1"/>
    <xf numFmtId="49" fontId="0" fillId="0" borderId="0" xfId="0" applyNumberFormat="1"/>
    <xf numFmtId="49" fontId="20" fillId="21" borderId="10" xfId="60" applyNumberFormat="1" applyFont="1" applyFill="1" applyBorder="1" applyAlignment="1">
      <alignment horizontal="center"/>
    </xf>
    <xf numFmtId="11" fontId="20" fillId="0" borderId="10" xfId="61" applyNumberFormat="1" applyFont="1" applyFill="1" applyBorder="1" applyAlignment="1">
      <alignment wrapText="1"/>
    </xf>
    <xf numFmtId="49" fontId="20" fillId="0" borderId="10" xfId="61" applyNumberFormat="1" applyFont="1" applyFill="1" applyBorder="1" applyAlignment="1">
      <alignment horizontal="center" wrapText="1"/>
    </xf>
    <xf numFmtId="49" fontId="0" fillId="0" borderId="0" xfId="0" applyNumberFormat="1" applyAlignment="1"/>
    <xf numFmtId="49" fontId="36" fillId="0" borderId="10" xfId="0" applyNumberFormat="1" applyFont="1" applyFill="1" applyBorder="1" applyAlignment="1">
      <alignment horizontal="center"/>
    </xf>
    <xf numFmtId="49" fontId="23" fillId="0" borderId="10" xfId="61" applyNumberFormat="1" applyFont="1" applyFill="1" applyBorder="1" applyAlignment="1">
      <alignment horizontal="center" wrapText="1"/>
    </xf>
    <xf numFmtId="0" fontId="3" fillId="0" borderId="0" xfId="0" applyFont="1"/>
    <xf numFmtId="49" fontId="20" fillId="0" borderId="10" xfId="61" applyNumberFormat="1" applyFont="1" applyFill="1" applyBorder="1" applyAlignment="1">
      <alignment horizontal="center" wrapText="1"/>
    </xf>
    <xf numFmtId="49" fontId="20" fillId="0" borderId="16" xfId="60" applyNumberFormat="1" applyFont="1" applyFill="1" applyBorder="1" applyAlignment="1">
      <alignment horizontal="center" wrapText="1"/>
    </xf>
    <xf numFmtId="2" fontId="37" fillId="0" borderId="0" xfId="0" applyNumberFormat="1" applyFont="1"/>
    <xf numFmtId="167" fontId="37" fillId="0" borderId="0" xfId="0" applyNumberFormat="1" applyFont="1"/>
    <xf numFmtId="166" fontId="35" fillId="0" borderId="0" xfId="0" applyNumberFormat="1" applyFont="1"/>
    <xf numFmtId="0" fontId="23" fillId="0" borderId="12" xfId="61" applyFont="1" applyFill="1" applyBorder="1" applyAlignment="1">
      <alignment horizontal="center" wrapText="1"/>
    </xf>
    <xf numFmtId="165" fontId="20" fillId="0" borderId="10" xfId="0" applyNumberFormat="1" applyFont="1" applyBorder="1" applyAlignment="1"/>
    <xf numFmtId="11" fontId="36" fillId="0" borderId="10" xfId="73" applyNumberFormat="1" applyFont="1" applyBorder="1" applyAlignment="1">
      <alignment vertical="top" wrapText="1"/>
    </xf>
    <xf numFmtId="11" fontId="36" fillId="0" borderId="10" xfId="75" applyNumberFormat="1" applyFont="1" applyBorder="1" applyAlignment="1">
      <alignment wrapText="1"/>
    </xf>
    <xf numFmtId="0" fontId="39" fillId="0" borderId="0" xfId="0" applyFont="1"/>
    <xf numFmtId="49" fontId="20" fillId="0" borderId="10" xfId="61" applyNumberFormat="1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66" fontId="0" fillId="0" borderId="0" xfId="0" applyNumberFormat="1"/>
    <xf numFmtId="165" fontId="20" fillId="0" borderId="10" xfId="0" applyNumberFormat="1" applyFont="1" applyFill="1" applyBorder="1" applyAlignment="1"/>
    <xf numFmtId="49" fontId="20" fillId="22" borderId="10" xfId="60" applyNumberFormat="1" applyFont="1" applyFill="1" applyBorder="1" applyAlignment="1">
      <alignment horizontal="center"/>
    </xf>
    <xf numFmtId="49" fontId="20" fillId="0" borderId="10" xfId="61" applyNumberFormat="1" applyFont="1" applyFill="1" applyBorder="1" applyAlignment="1">
      <alignment horizontal="center" wrapText="1"/>
    </xf>
    <xf numFmtId="49" fontId="36" fillId="0" borderId="1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35" fillId="22" borderId="0" xfId="0" applyFont="1" applyFill="1"/>
    <xf numFmtId="165" fontId="23" fillId="23" borderId="0" xfId="0" applyNumberFormat="1" applyFont="1" applyFill="1" applyBorder="1"/>
    <xf numFmtId="165" fontId="23" fillId="24" borderId="0" xfId="0" applyNumberFormat="1" applyFont="1" applyFill="1" applyBorder="1"/>
    <xf numFmtId="49" fontId="42" fillId="22" borderId="0" xfId="60" applyNumberFormat="1" applyFont="1" applyFill="1" applyBorder="1" applyAlignment="1">
      <alignment horizontal="left"/>
    </xf>
    <xf numFmtId="0" fontId="42" fillId="22" borderId="0" xfId="60" applyFont="1" applyFill="1" applyBorder="1" applyAlignment="1">
      <alignment horizontal="left"/>
    </xf>
    <xf numFmtId="0" fontId="43" fillId="22" borderId="0" xfId="0" applyFont="1" applyFill="1" applyAlignment="1"/>
    <xf numFmtId="0" fontId="43" fillId="22" borderId="0" xfId="0" applyFont="1" applyFill="1"/>
    <xf numFmtId="0" fontId="42" fillId="22" borderId="0" xfId="60" applyFont="1" applyFill="1" applyBorder="1" applyAlignment="1">
      <alignment horizontal="center" wrapText="1"/>
    </xf>
    <xf numFmtId="165" fontId="23" fillId="23" borderId="16" xfId="60" applyNumberFormat="1" applyFont="1" applyFill="1" applyBorder="1" applyAlignment="1">
      <alignment horizontal="center" wrapText="1"/>
    </xf>
    <xf numFmtId="165" fontId="23" fillId="24" borderId="16" xfId="60" applyNumberFormat="1" applyFont="1" applyFill="1" applyBorder="1" applyAlignment="1">
      <alignment horizontal="center" wrapText="1"/>
    </xf>
    <xf numFmtId="0" fontId="37" fillId="23" borderId="0" xfId="0" applyFont="1" applyFill="1" applyBorder="1"/>
    <xf numFmtId="0" fontId="37" fillId="24" borderId="0" xfId="0" applyFont="1" applyFill="1" applyBorder="1"/>
    <xf numFmtId="165" fontId="37" fillId="23" borderId="0" xfId="0" applyNumberFormat="1" applyFont="1" applyFill="1" applyBorder="1"/>
    <xf numFmtId="165" fontId="37" fillId="24" borderId="0" xfId="0" applyNumberFormat="1" applyFont="1" applyFill="1" applyBorder="1"/>
    <xf numFmtId="165" fontId="23" fillId="23" borderId="0" xfId="60" applyNumberFormat="1" applyFont="1" applyFill="1" applyBorder="1" applyAlignment="1">
      <alignment horizontal="right"/>
    </xf>
    <xf numFmtId="165" fontId="23" fillId="24" borderId="0" xfId="60" applyNumberFormat="1" applyFont="1" applyFill="1" applyBorder="1" applyAlignment="1">
      <alignment horizontal="right"/>
    </xf>
    <xf numFmtId="165" fontId="23" fillId="23" borderId="0" xfId="60" applyNumberFormat="1" applyFont="1" applyFill="1" applyBorder="1" applyAlignment="1"/>
    <xf numFmtId="165" fontId="23" fillId="24" borderId="0" xfId="60" applyNumberFormat="1" applyFont="1" applyFill="1" applyBorder="1" applyAlignment="1"/>
    <xf numFmtId="165" fontId="23" fillId="23" borderId="0" xfId="60" applyNumberFormat="1" applyFont="1" applyFill="1" applyBorder="1"/>
    <xf numFmtId="165" fontId="23" fillId="24" borderId="0" xfId="60" applyNumberFormat="1" applyFont="1" applyFill="1" applyBorder="1"/>
    <xf numFmtId="2" fontId="23" fillId="23" borderId="0" xfId="0" applyNumberFormat="1" applyFont="1" applyFill="1" applyBorder="1"/>
    <xf numFmtId="2" fontId="23" fillId="24" borderId="0" xfId="0" applyNumberFormat="1" applyFont="1" applyFill="1" applyBorder="1"/>
    <xf numFmtId="165" fontId="23" fillId="23" borderId="0" xfId="0" applyNumberFormat="1" applyFont="1" applyFill="1" applyBorder="1" applyAlignment="1"/>
    <xf numFmtId="165" fontId="23" fillId="24" borderId="0" xfId="0" applyNumberFormat="1" applyFont="1" applyFill="1" applyBorder="1" applyAlignment="1"/>
    <xf numFmtId="0" fontId="23" fillId="23" borderId="0" xfId="0" applyFont="1" applyFill="1"/>
    <xf numFmtId="0" fontId="23" fillId="24" borderId="0" xfId="0" applyFont="1" applyFill="1"/>
    <xf numFmtId="0" fontId="44" fillId="23" borderId="0" xfId="0" applyFont="1" applyFill="1"/>
    <xf numFmtId="0" fontId="44" fillId="24" borderId="0" xfId="0" applyFont="1" applyFill="1"/>
    <xf numFmtId="0" fontId="20" fillId="22" borderId="10" xfId="60" applyFont="1" applyFill="1" applyBorder="1" applyAlignment="1">
      <alignment wrapText="1"/>
    </xf>
    <xf numFmtId="0" fontId="20" fillId="22" borderId="10" xfId="60" applyFont="1" applyFill="1" applyBorder="1" applyAlignment="1">
      <alignment horizontal="center" wrapText="1"/>
    </xf>
    <xf numFmtId="49" fontId="20" fillId="22" borderId="10" xfId="60" applyNumberFormat="1" applyFont="1" applyFill="1" applyBorder="1" applyAlignment="1">
      <alignment horizontal="center" wrapText="1"/>
    </xf>
    <xf numFmtId="2" fontId="23" fillId="23" borderId="0" xfId="0" applyNumberFormat="1" applyFont="1" applyFill="1"/>
    <xf numFmtId="165" fontId="45" fillId="0" borderId="0" xfId="0" applyNumberFormat="1" applyFont="1"/>
    <xf numFmtId="165" fontId="20" fillId="0" borderId="0" xfId="0" applyNumberFormat="1" applyFont="1"/>
    <xf numFmtId="165" fontId="28" fillId="0" borderId="0" xfId="61" applyNumberFormat="1" applyFont="1" applyFill="1" applyBorder="1"/>
    <xf numFmtId="2" fontId="39" fillId="0" borderId="0" xfId="0" applyNumberFormat="1" applyFont="1" applyAlignment="1">
      <alignment horizontal="center"/>
    </xf>
    <xf numFmtId="166" fontId="37" fillId="0" borderId="0" xfId="0" applyNumberFormat="1" applyFont="1" applyAlignment="1">
      <alignment horizontal="center"/>
    </xf>
    <xf numFmtId="0" fontId="23" fillId="22" borderId="10" xfId="60" applyFont="1" applyFill="1" applyBorder="1" applyAlignment="1">
      <alignment horizontal="center" wrapText="1"/>
    </xf>
    <xf numFmtId="49" fontId="23" fillId="22" borderId="10" xfId="60" applyNumberFormat="1" applyFont="1" applyFill="1" applyBorder="1" applyAlignment="1">
      <alignment horizontal="center"/>
    </xf>
    <xf numFmtId="49" fontId="23" fillId="22" borderId="10" xfId="0" applyNumberFormat="1" applyFont="1" applyFill="1" applyBorder="1" applyAlignment="1">
      <alignment horizontal="center"/>
    </xf>
    <xf numFmtId="0" fontId="23" fillId="22" borderId="10" xfId="60" applyFont="1" applyFill="1" applyBorder="1" applyAlignment="1">
      <alignment wrapText="1"/>
    </xf>
    <xf numFmtId="0" fontId="20" fillId="22" borderId="10" xfId="0" applyFont="1" applyFill="1" applyBorder="1" applyAlignment="1">
      <alignment horizontal="left" wrapText="1"/>
    </xf>
    <xf numFmtId="49" fontId="20" fillId="22" borderId="10" xfId="0" applyNumberFormat="1" applyFont="1" applyFill="1" applyBorder="1" applyAlignment="1">
      <alignment horizontal="center"/>
    </xf>
    <xf numFmtId="49" fontId="20" fillId="22" borderId="10" xfId="39" applyNumberFormat="1" applyFont="1" applyFill="1" applyBorder="1" applyAlignment="1">
      <alignment horizontal="center"/>
    </xf>
    <xf numFmtId="0" fontId="20" fillId="22" borderId="10" xfId="0" applyFont="1" applyFill="1" applyBorder="1" applyAlignment="1">
      <alignment horizontal="center"/>
    </xf>
    <xf numFmtId="11" fontId="22" fillId="22" borderId="10" xfId="60" applyNumberFormat="1" applyFont="1" applyFill="1" applyBorder="1" applyAlignment="1">
      <alignment wrapText="1"/>
    </xf>
    <xf numFmtId="0" fontId="33" fillId="22" borderId="10" xfId="0" applyFont="1" applyFill="1" applyBorder="1" applyAlignment="1">
      <alignment horizontal="left" wrapText="1"/>
    </xf>
    <xf numFmtId="0" fontId="20" fillId="22" borderId="10" xfId="0" applyFont="1" applyFill="1" applyBorder="1" applyAlignment="1">
      <alignment wrapText="1"/>
    </xf>
    <xf numFmtId="0" fontId="20" fillId="22" borderId="10" xfId="61" applyFont="1" applyFill="1" applyBorder="1" applyAlignment="1">
      <alignment wrapText="1"/>
    </xf>
    <xf numFmtId="11" fontId="20" fillId="22" borderId="12" xfId="39" applyNumberFormat="1" applyFont="1" applyFill="1" applyBorder="1" applyAlignment="1">
      <alignment wrapText="1"/>
    </xf>
    <xf numFmtId="11" fontId="36" fillId="22" borderId="10" xfId="0" applyNumberFormat="1" applyFont="1" applyFill="1" applyBorder="1" applyAlignment="1">
      <alignment vertical="top" wrapText="1"/>
    </xf>
    <xf numFmtId="0" fontId="20" fillId="22" borderId="10" xfId="43" applyFont="1" applyFill="1" applyBorder="1" applyAlignment="1">
      <alignment wrapText="1"/>
    </xf>
    <xf numFmtId="0" fontId="33" fillId="22" borderId="10" xfId="0" applyFont="1" applyFill="1" applyBorder="1" applyAlignment="1">
      <alignment wrapText="1"/>
    </xf>
    <xf numFmtId="0" fontId="33" fillId="22" borderId="10" xfId="0" applyFont="1" applyFill="1" applyBorder="1"/>
    <xf numFmtId="0" fontId="23" fillId="22" borderId="10" xfId="0" applyFont="1" applyFill="1" applyBorder="1" applyAlignment="1">
      <alignment horizontal="left" wrapText="1"/>
    </xf>
    <xf numFmtId="0" fontId="20" fillId="22" borderId="10" xfId="60" applyFont="1" applyFill="1" applyBorder="1" applyAlignment="1">
      <alignment vertical="top" wrapText="1"/>
    </xf>
    <xf numFmtId="0" fontId="33" fillId="22" borderId="10" xfId="61" applyFont="1" applyFill="1" applyBorder="1" applyAlignment="1">
      <alignment wrapText="1"/>
    </xf>
    <xf numFmtId="11" fontId="36" fillId="22" borderId="10" xfId="67" applyNumberFormat="1" applyFont="1" applyFill="1" applyBorder="1" applyAlignment="1">
      <alignment wrapText="1"/>
    </xf>
    <xf numFmtId="11" fontId="36" fillId="22" borderId="10" xfId="0" applyNumberFormat="1" applyFont="1" applyFill="1" applyBorder="1" applyAlignment="1">
      <alignment wrapText="1"/>
    </xf>
    <xf numFmtId="11" fontId="20" fillId="22" borderId="10" xfId="0" applyNumberFormat="1" applyFont="1" applyFill="1" applyBorder="1" applyAlignment="1">
      <alignment vertical="top" wrapText="1"/>
    </xf>
    <xf numFmtId="0" fontId="20" fillId="22" borderId="10" xfId="0" applyFont="1" applyFill="1" applyBorder="1" applyAlignment="1">
      <alignment horizontal="justify"/>
    </xf>
    <xf numFmtId="0" fontId="20" fillId="22" borderId="10" xfId="39" applyFont="1" applyFill="1" applyBorder="1" applyAlignment="1">
      <alignment wrapText="1"/>
    </xf>
    <xf numFmtId="0" fontId="33" fillId="22" borderId="10" xfId="60" applyFont="1" applyFill="1" applyBorder="1" applyAlignment="1">
      <alignment wrapText="1"/>
    </xf>
    <xf numFmtId="0" fontId="40" fillId="22" borderId="10" xfId="0" applyFont="1" applyFill="1" applyBorder="1" applyAlignment="1">
      <alignment wrapText="1"/>
    </xf>
    <xf numFmtId="0" fontId="33" fillId="22" borderId="10" xfId="0" applyFont="1" applyFill="1" applyBorder="1" applyAlignment="1">
      <alignment horizontal="justify"/>
    </xf>
    <xf numFmtId="0" fontId="32" fillId="22" borderId="10" xfId="0" applyFont="1" applyFill="1" applyBorder="1" applyAlignment="1">
      <alignment wrapText="1"/>
    </xf>
    <xf numFmtId="11" fontId="20" fillId="22" borderId="10" xfId="0" applyNumberFormat="1" applyFont="1" applyFill="1" applyBorder="1" applyAlignment="1">
      <alignment horizontal="left" vertical="top" wrapText="1"/>
    </xf>
    <xf numFmtId="11" fontId="36" fillId="22" borderId="10" xfId="83" applyNumberFormat="1" applyFont="1" applyFill="1" applyBorder="1" applyAlignment="1">
      <alignment wrapText="1"/>
    </xf>
    <xf numFmtId="11" fontId="20" fillId="22" borderId="12" xfId="68" applyNumberFormat="1" applyFont="1" applyFill="1" applyBorder="1" applyAlignment="1">
      <alignment wrapText="1"/>
    </xf>
    <xf numFmtId="0" fontId="40" fillId="22" borderId="0" xfId="0" applyFont="1" applyFill="1" applyAlignment="1">
      <alignment wrapText="1"/>
    </xf>
    <xf numFmtId="11" fontId="36" fillId="22" borderId="10" xfId="77" applyNumberFormat="1" applyFont="1" applyFill="1" applyBorder="1" applyAlignment="1">
      <alignment wrapText="1"/>
    </xf>
    <xf numFmtId="0" fontId="23" fillId="22" borderId="10" xfId="0" applyFont="1" applyFill="1" applyBorder="1" applyAlignment="1">
      <alignment horizontal="justify"/>
    </xf>
    <xf numFmtId="11" fontId="20" fillId="22" borderId="10" xfId="56" applyNumberFormat="1" applyFont="1" applyFill="1" applyBorder="1" applyAlignment="1">
      <alignment vertical="top" wrapText="1"/>
    </xf>
    <xf numFmtId="11" fontId="20" fillId="22" borderId="12" xfId="39" applyNumberFormat="1" applyFont="1" applyFill="1" applyBorder="1" applyAlignment="1">
      <alignment horizontal="left" wrapText="1"/>
    </xf>
    <xf numFmtId="0" fontId="20" fillId="22" borderId="10" xfId="0" applyFont="1" applyFill="1" applyBorder="1"/>
    <xf numFmtId="0" fontId="21" fillId="22" borderId="0" xfId="0" applyFont="1" applyFill="1" applyBorder="1"/>
    <xf numFmtId="0" fontId="0" fillId="22" borderId="0" xfId="0" applyFill="1" applyBorder="1"/>
    <xf numFmtId="0" fontId="0" fillId="22" borderId="0" xfId="0" applyFill="1"/>
    <xf numFmtId="165" fontId="23" fillId="0" borderId="10" xfId="61" applyNumberFormat="1" applyFont="1" applyFill="1" applyBorder="1"/>
    <xf numFmtId="166" fontId="37" fillId="0" borderId="0" xfId="0" applyNumberFormat="1" applyFont="1"/>
    <xf numFmtId="165" fontId="20" fillId="0" borderId="10" xfId="0" applyNumberFormat="1" applyFont="1" applyFill="1" applyBorder="1" applyAlignment="1">
      <alignment wrapText="1"/>
    </xf>
    <xf numFmtId="165" fontId="23" fillId="0" borderId="10" xfId="0" applyNumberFormat="1" applyFont="1" applyFill="1" applyBorder="1"/>
    <xf numFmtId="165" fontId="33" fillId="0" borderId="10" xfId="0" applyNumberFormat="1" applyFont="1" applyFill="1" applyBorder="1"/>
    <xf numFmtId="165" fontId="20" fillId="0" borderId="10" xfId="0" applyNumberFormat="1" applyFont="1" applyFill="1" applyBorder="1" applyAlignment="1">
      <alignment horizontal="right"/>
    </xf>
    <xf numFmtId="165" fontId="21" fillId="0" borderId="0" xfId="0" applyNumberFormat="1" applyFont="1" applyFill="1" applyBorder="1"/>
    <xf numFmtId="165" fontId="0" fillId="0" borderId="0" xfId="0" applyNumberFormat="1" applyFill="1" applyBorder="1"/>
    <xf numFmtId="165" fontId="0" fillId="0" borderId="0" xfId="0" applyNumberFormat="1" applyFill="1"/>
    <xf numFmtId="49" fontId="37" fillId="0" borderId="0" xfId="0" applyNumberFormat="1" applyFont="1"/>
    <xf numFmtId="0" fontId="3" fillId="22" borderId="0" xfId="0" applyFont="1" applyFill="1"/>
    <xf numFmtId="11" fontId="20" fillId="22" borderId="10" xfId="60" applyNumberFormat="1" applyFont="1" applyFill="1" applyBorder="1" applyAlignment="1">
      <alignment horizontal="center" wrapText="1"/>
    </xf>
    <xf numFmtId="11" fontId="23" fillId="22" borderId="10" xfId="60" applyNumberFormat="1" applyFont="1" applyFill="1" applyBorder="1" applyAlignment="1">
      <alignment wrapText="1"/>
    </xf>
    <xf numFmtId="0" fontId="23" fillId="25" borderId="10" xfId="60" applyFont="1" applyFill="1" applyBorder="1" applyAlignment="1">
      <alignment horizontal="center" wrapText="1"/>
    </xf>
    <xf numFmtId="11" fontId="20" fillId="22" borderId="10" xfId="61" applyNumberFormat="1" applyFont="1" applyFill="1" applyBorder="1" applyAlignment="1">
      <alignment wrapText="1"/>
    </xf>
    <xf numFmtId="0" fontId="20" fillId="22" borderId="10" xfId="60" applyFont="1" applyFill="1" applyBorder="1" applyAlignment="1">
      <alignment horizontal="left" wrapText="1"/>
    </xf>
    <xf numFmtId="0" fontId="36" fillId="22" borderId="10" xfId="43" applyFont="1" applyFill="1" applyBorder="1" applyAlignment="1">
      <alignment wrapText="1"/>
    </xf>
    <xf numFmtId="0" fontId="23" fillId="22" borderId="10" xfId="60" applyFont="1" applyFill="1" applyBorder="1" applyAlignment="1"/>
    <xf numFmtId="11" fontId="23" fillId="22" borderId="11" xfId="61" applyNumberFormat="1" applyFont="1" applyFill="1" applyBorder="1" applyAlignment="1">
      <alignment wrapText="1"/>
    </xf>
    <xf numFmtId="11" fontId="23" fillId="22" borderId="10" xfId="56" applyNumberFormat="1" applyFont="1" applyFill="1" applyBorder="1" applyAlignment="1">
      <alignment vertical="top" wrapText="1"/>
    </xf>
    <xf numFmtId="11" fontId="38" fillId="22" borderId="10" xfId="73" applyNumberFormat="1" applyFont="1" applyFill="1" applyBorder="1" applyAlignment="1">
      <alignment vertical="top" wrapText="1"/>
    </xf>
    <xf numFmtId="11" fontId="23" fillId="22" borderId="10" xfId="0" applyNumberFormat="1" applyFont="1" applyFill="1" applyBorder="1" applyAlignment="1">
      <alignment vertical="top" wrapText="1"/>
    </xf>
    <xf numFmtId="0" fontId="23" fillId="22" borderId="10" xfId="61" applyFont="1" applyFill="1" applyBorder="1" applyAlignment="1">
      <alignment wrapText="1"/>
    </xf>
    <xf numFmtId="11" fontId="38" fillId="22" borderId="10" xfId="75" applyNumberFormat="1" applyFont="1" applyFill="1" applyBorder="1" applyAlignment="1">
      <alignment wrapText="1"/>
    </xf>
    <xf numFmtId="0" fontId="40" fillId="22" borderId="10" xfId="0" applyFont="1" applyFill="1" applyBorder="1"/>
    <xf numFmtId="11" fontId="36" fillId="22" borderId="10" xfId="71" applyNumberFormat="1" applyFont="1" applyFill="1" applyBorder="1" applyAlignment="1">
      <alignment wrapText="1"/>
    </xf>
    <xf numFmtId="11" fontId="23" fillId="22" borderId="10" xfId="61" applyNumberFormat="1" applyFont="1" applyFill="1" applyBorder="1" applyAlignment="1">
      <alignment wrapText="1"/>
    </xf>
    <xf numFmtId="0" fontId="20" fillId="22" borderId="11" xfId="60" applyFont="1" applyFill="1" applyBorder="1" applyAlignment="1">
      <alignment wrapText="1"/>
    </xf>
    <xf numFmtId="0" fontId="23" fillId="22" borderId="10" xfId="60" applyFont="1" applyFill="1" applyBorder="1" applyAlignment="1">
      <alignment horizontal="left" wrapText="1"/>
    </xf>
    <xf numFmtId="11" fontId="20" fillId="22" borderId="10" xfId="0" applyNumberFormat="1" applyFont="1" applyFill="1" applyBorder="1" applyAlignment="1">
      <alignment wrapText="1"/>
    </xf>
    <xf numFmtId="4" fontId="0" fillId="0" borderId="0" xfId="0" applyNumberFormat="1"/>
    <xf numFmtId="2" fontId="44" fillId="0" borderId="0" xfId="0" applyNumberFormat="1" applyFont="1"/>
    <xf numFmtId="0" fontId="44" fillId="0" borderId="0" xfId="0" applyFont="1"/>
    <xf numFmtId="166" fontId="23" fillId="0" borderId="0" xfId="0" applyNumberFormat="1" applyFont="1"/>
    <xf numFmtId="166" fontId="23" fillId="0" borderId="0" xfId="0" applyNumberFormat="1" applyFont="1" applyAlignment="1">
      <alignment horizontal="center"/>
    </xf>
    <xf numFmtId="165" fontId="20" fillId="26" borderId="10" xfId="0" applyNumberFormat="1" applyFont="1" applyFill="1" applyBorder="1"/>
    <xf numFmtId="0" fontId="20" fillId="26" borderId="10" xfId="60" applyFont="1" applyFill="1" applyBorder="1" applyAlignment="1">
      <alignment wrapText="1"/>
    </xf>
    <xf numFmtId="166" fontId="37" fillId="0" borderId="0" xfId="0" applyNumberFormat="1" applyFont="1" applyAlignment="1">
      <alignment wrapText="1"/>
    </xf>
    <xf numFmtId="166" fontId="23" fillId="0" borderId="0" xfId="0" applyNumberFormat="1" applyFont="1" applyAlignment="1">
      <alignment horizontal="center" wrapText="1"/>
    </xf>
    <xf numFmtId="11" fontId="36" fillId="0" borderId="10" xfId="0" applyNumberFormat="1" applyFont="1" applyBorder="1" applyAlignment="1">
      <alignment vertical="top" wrapText="1"/>
    </xf>
    <xf numFmtId="166" fontId="39" fillId="0" borderId="0" xfId="0" applyNumberFormat="1" applyFont="1"/>
    <xf numFmtId="166" fontId="22" fillId="0" borderId="0" xfId="0" applyNumberFormat="1" applyFont="1" applyAlignment="1">
      <alignment horizontal="center"/>
    </xf>
    <xf numFmtId="11" fontId="20" fillId="0" borderId="12" xfId="68" applyNumberFormat="1" applyFont="1" applyFill="1" applyBorder="1" applyAlignment="1">
      <alignment vertical="top" wrapText="1"/>
    </xf>
    <xf numFmtId="49" fontId="37" fillId="0" borderId="0" xfId="0" applyNumberFormat="1" applyFont="1" applyAlignment="1">
      <alignment horizontal="center"/>
    </xf>
    <xf numFmtId="167" fontId="37" fillId="27" borderId="0" xfId="0" applyNumberFormat="1" applyFont="1" applyFill="1"/>
    <xf numFmtId="167" fontId="37" fillId="28" borderId="0" xfId="0" applyNumberFormat="1" applyFont="1" applyFill="1"/>
    <xf numFmtId="167" fontId="37" fillId="24" borderId="0" xfId="0" applyNumberFormat="1" applyFont="1" applyFill="1"/>
    <xf numFmtId="11" fontId="36" fillId="0" borderId="10" xfId="0" applyNumberFormat="1" applyFont="1" applyBorder="1" applyAlignment="1">
      <alignment horizontal="left" wrapText="1"/>
    </xf>
    <xf numFmtId="167" fontId="37" fillId="27" borderId="0" xfId="0" applyNumberFormat="1" applyFont="1" applyFill="1" applyAlignment="1">
      <alignment wrapText="1"/>
    </xf>
    <xf numFmtId="167" fontId="37" fillId="22" borderId="0" xfId="0" applyNumberFormat="1" applyFont="1" applyFill="1"/>
    <xf numFmtId="167" fontId="0" fillId="0" borderId="0" xfId="0" applyNumberFormat="1"/>
    <xf numFmtId="11" fontId="36" fillId="0" borderId="10" xfId="0" applyNumberFormat="1" applyFont="1" applyBorder="1" applyAlignment="1">
      <alignment wrapText="1"/>
    </xf>
    <xf numFmtId="0" fontId="23" fillId="0" borderId="0" xfId="0" applyFont="1"/>
    <xf numFmtId="49" fontId="23" fillId="0" borderId="10" xfId="84" applyNumberFormat="1" applyFont="1" applyFill="1" applyBorder="1" applyAlignment="1">
      <alignment horizontal="center" wrapText="1"/>
    </xf>
    <xf numFmtId="165" fontId="23" fillId="22" borderId="0" xfId="0" applyNumberFormat="1" applyFont="1" applyFill="1" applyBorder="1"/>
    <xf numFmtId="2" fontId="35" fillId="22" borderId="0" xfId="0" applyNumberFormat="1" applyFont="1" applyFill="1"/>
    <xf numFmtId="2" fontId="39" fillId="22" borderId="0" xfId="0" applyNumberFormat="1" applyFont="1" applyFill="1" applyAlignment="1">
      <alignment horizontal="center"/>
    </xf>
    <xf numFmtId="166" fontId="37" fillId="22" borderId="0" xfId="0" applyNumberFormat="1" applyFont="1" applyFill="1" applyAlignment="1">
      <alignment horizontal="center"/>
    </xf>
    <xf numFmtId="166" fontId="37" fillId="22" borderId="0" xfId="0" applyNumberFormat="1" applyFont="1" applyFill="1"/>
    <xf numFmtId="166" fontId="35" fillId="22" borderId="0" xfId="0" applyNumberFormat="1" applyFont="1" applyFill="1"/>
    <xf numFmtId="166" fontId="23" fillId="22" borderId="0" xfId="0" applyNumberFormat="1" applyFont="1" applyFill="1"/>
    <xf numFmtId="166" fontId="39" fillId="22" borderId="0" xfId="0" applyNumberFormat="1" applyFont="1" applyFill="1"/>
    <xf numFmtId="0" fontId="23" fillId="22" borderId="0" xfId="0" applyFont="1" applyFill="1"/>
    <xf numFmtId="49" fontId="20" fillId="0" borderId="10" xfId="61" applyNumberFormat="1" applyFont="1" applyFill="1" applyBorder="1" applyAlignment="1">
      <alignment horizontal="center" wrapText="1"/>
    </xf>
    <xf numFmtId="49" fontId="20" fillId="0" borderId="10" xfId="61" applyNumberFormat="1" applyFont="1" applyFill="1" applyBorder="1" applyAlignment="1">
      <alignment horizontal="center" wrapText="1"/>
    </xf>
    <xf numFmtId="166" fontId="47" fillId="0" borderId="0" xfId="0" applyNumberFormat="1" applyFont="1"/>
    <xf numFmtId="166" fontId="48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 wrapText="1"/>
    </xf>
    <xf numFmtId="0" fontId="20" fillId="0" borderId="0" xfId="0" applyFont="1" applyAlignment="1">
      <alignment wrapText="1"/>
    </xf>
    <xf numFmtId="0" fontId="33" fillId="0" borderId="0" xfId="0" applyFont="1" applyAlignment="1">
      <alignment wrapText="1"/>
    </xf>
    <xf numFmtId="2" fontId="37" fillId="23" borderId="0" xfId="0" applyNumberFormat="1" applyFont="1" applyFill="1"/>
    <xf numFmtId="2" fontId="37" fillId="23" borderId="0" xfId="0" applyNumberFormat="1" applyFont="1" applyFill="1" applyAlignment="1">
      <alignment horizontal="center"/>
    </xf>
    <xf numFmtId="49" fontId="36" fillId="22" borderId="10" xfId="0" applyNumberFormat="1" applyFont="1" applyFill="1" applyBorder="1" applyAlignment="1">
      <alignment horizontal="center"/>
    </xf>
    <xf numFmtId="166" fontId="47" fillId="0" borderId="0" xfId="0" applyNumberFormat="1" applyFont="1" applyAlignment="1">
      <alignment horizontal="center"/>
    </xf>
    <xf numFmtId="2" fontId="47" fillId="0" borderId="0" xfId="0" applyNumberFormat="1" applyFont="1"/>
    <xf numFmtId="165" fontId="23" fillId="0" borderId="10" xfId="0" applyNumberFormat="1" applyFont="1" applyFill="1" applyBorder="1" applyAlignment="1">
      <alignment wrapText="1"/>
    </xf>
    <xf numFmtId="166" fontId="48" fillId="0" borderId="0" xfId="0" applyNumberFormat="1" applyFont="1"/>
    <xf numFmtId="0" fontId="20" fillId="0" borderId="10" xfId="0" applyFont="1" applyFill="1" applyBorder="1" applyAlignment="1">
      <alignment vertical="top" wrapText="1"/>
    </xf>
    <xf numFmtId="166" fontId="37" fillId="21" borderId="0" xfId="0" applyNumberFormat="1" applyFont="1" applyFill="1"/>
    <xf numFmtId="166" fontId="37" fillId="0" borderId="0" xfId="0" applyNumberFormat="1" applyFont="1" applyAlignment="1">
      <alignment horizontal="right"/>
    </xf>
    <xf numFmtId="2" fontId="48" fillId="0" borderId="0" xfId="0" applyNumberFormat="1" applyFont="1"/>
    <xf numFmtId="2" fontId="48" fillId="0" borderId="0" xfId="0" applyNumberFormat="1" applyFont="1" applyAlignment="1">
      <alignment horizontal="center"/>
    </xf>
    <xf numFmtId="49" fontId="49" fillId="0" borderId="10" xfId="85" applyNumberFormat="1" applyFont="1" applyBorder="1" applyAlignment="1">
      <alignment horizontal="left" vertical="top" wrapText="1"/>
    </xf>
    <xf numFmtId="49" fontId="49" fillId="0" borderId="10" xfId="86" applyNumberFormat="1" applyFont="1" applyBorder="1" applyAlignment="1">
      <alignment horizontal="left" vertical="top" wrapText="1"/>
    </xf>
    <xf numFmtId="49" fontId="49" fillId="0" borderId="10" xfId="88" applyNumberFormat="1" applyFont="1" applyBorder="1" applyAlignment="1">
      <alignment horizontal="left" vertical="top" wrapText="1"/>
    </xf>
    <xf numFmtId="2" fontId="37" fillId="0" borderId="0" xfId="0" applyNumberFormat="1" applyFont="1" applyAlignment="1">
      <alignment wrapText="1"/>
    </xf>
    <xf numFmtId="0" fontId="37" fillId="0" borderId="0" xfId="0" applyFont="1"/>
    <xf numFmtId="43" fontId="48" fillId="0" borderId="0" xfId="84" applyFont="1"/>
    <xf numFmtId="2" fontId="23" fillId="0" borderId="10" xfId="0" applyNumberFormat="1" applyFont="1" applyBorder="1"/>
    <xf numFmtId="2" fontId="23" fillId="22" borderId="0" xfId="0" applyNumberFormat="1" applyFont="1" applyFill="1"/>
    <xf numFmtId="0" fontId="20" fillId="21" borderId="10" xfId="0" applyFont="1" applyFill="1" applyBorder="1" applyAlignment="1">
      <alignment horizontal="left" wrapText="1"/>
    </xf>
    <xf numFmtId="0" fontId="20" fillId="21" borderId="10" xfId="60" applyFont="1" applyFill="1" applyBorder="1" applyAlignment="1">
      <alignment horizontal="center" wrapText="1"/>
    </xf>
    <xf numFmtId="49" fontId="20" fillId="21" borderId="10" xfId="60" applyNumberFormat="1" applyFont="1" applyFill="1" applyBorder="1" applyAlignment="1">
      <alignment horizontal="center" wrapText="1"/>
    </xf>
    <xf numFmtId="49" fontId="20" fillId="21" borderId="10" xfId="0" applyNumberFormat="1" applyFont="1" applyFill="1" applyBorder="1" applyAlignment="1">
      <alignment horizontal="center"/>
    </xf>
    <xf numFmtId="49" fontId="20" fillId="21" borderId="10" xfId="43" applyNumberFormat="1" applyFont="1" applyFill="1" applyBorder="1" applyAlignment="1">
      <alignment horizontal="center"/>
    </xf>
    <xf numFmtId="165" fontId="20" fillId="21" borderId="10" xfId="0" applyNumberFormat="1" applyFont="1" applyFill="1" applyBorder="1"/>
    <xf numFmtId="0" fontId="20" fillId="21" borderId="10" xfId="60" applyFont="1" applyFill="1" applyBorder="1" applyAlignment="1">
      <alignment horizontal="left" wrapText="1"/>
    </xf>
    <xf numFmtId="0" fontId="20" fillId="21" borderId="10" xfId="60" applyFont="1" applyFill="1" applyBorder="1" applyAlignment="1">
      <alignment wrapText="1"/>
    </xf>
    <xf numFmtId="0" fontId="20" fillId="21" borderId="10" xfId="0" applyFont="1" applyFill="1" applyBorder="1" applyAlignment="1">
      <alignment wrapText="1"/>
    </xf>
    <xf numFmtId="49" fontId="36" fillId="21" borderId="10" xfId="0" applyNumberFormat="1" applyFont="1" applyFill="1" applyBorder="1" applyAlignment="1">
      <alignment horizontal="center"/>
    </xf>
    <xf numFmtId="0" fontId="20" fillId="21" borderId="10" xfId="60" applyFont="1" applyFill="1" applyBorder="1" applyAlignment="1">
      <alignment vertical="top" wrapText="1"/>
    </xf>
    <xf numFmtId="165" fontId="20" fillId="0" borderId="13" xfId="61" applyNumberFormat="1" applyFont="1" applyFill="1" applyBorder="1" applyAlignment="1">
      <alignment horizontal="center" wrapText="1"/>
    </xf>
    <xf numFmtId="165" fontId="20" fillId="0" borderId="11" xfId="61" applyNumberFormat="1" applyFont="1" applyFill="1" applyBorder="1" applyAlignment="1">
      <alignment horizontal="center" wrapText="1"/>
    </xf>
    <xf numFmtId="49" fontId="20" fillId="0" borderId="0" xfId="61" applyNumberFormat="1" applyFont="1" applyFill="1" applyBorder="1" applyAlignment="1">
      <alignment horizontal="left"/>
    </xf>
    <xf numFmtId="0" fontId="20" fillId="0" borderId="0" xfId="61" applyFont="1" applyFill="1" applyBorder="1" applyAlignment="1">
      <alignment horizontal="left"/>
    </xf>
    <xf numFmtId="0" fontId="20" fillId="0" borderId="0" xfId="61" applyFont="1" applyFill="1" applyBorder="1" applyAlignment="1">
      <alignment horizontal="right" wrapText="1"/>
    </xf>
    <xf numFmtId="0" fontId="20" fillId="0" borderId="0" xfId="61" applyFont="1" applyFill="1" applyBorder="1" applyAlignment="1">
      <alignment horizontal="center" wrapText="1"/>
    </xf>
    <xf numFmtId="11" fontId="20" fillId="0" borderId="10" xfId="61" applyNumberFormat="1" applyFont="1" applyFill="1" applyBorder="1" applyAlignment="1">
      <alignment wrapText="1"/>
    </xf>
    <xf numFmtId="49" fontId="20" fillId="0" borderId="10" xfId="61" applyNumberFormat="1" applyFont="1" applyFill="1" applyBorder="1" applyAlignment="1">
      <alignment horizontal="center" wrapText="1"/>
    </xf>
    <xf numFmtId="49" fontId="20" fillId="0" borderId="0" xfId="60" applyNumberFormat="1" applyFont="1" applyFill="1" applyBorder="1" applyAlignment="1">
      <alignment horizontal="left"/>
    </xf>
    <xf numFmtId="0" fontId="20" fillId="0" borderId="0" xfId="60" applyFont="1" applyFill="1" applyBorder="1" applyAlignment="1">
      <alignment horizontal="left"/>
    </xf>
    <xf numFmtId="0" fontId="20" fillId="0" borderId="0" xfId="60" applyFont="1" applyFill="1" applyBorder="1" applyAlignment="1">
      <alignment horizontal="center" wrapText="1"/>
    </xf>
    <xf numFmtId="0" fontId="0" fillId="0" borderId="0" xfId="0" applyAlignment="1"/>
    <xf numFmtId="0" fontId="20" fillId="0" borderId="0" xfId="60" applyFont="1" applyFill="1" applyBorder="1" applyAlignment="1"/>
  </cellXfs>
  <cellStyles count="89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 2" xfId="28"/>
    <cellStyle name="Денежный 3" xfId="29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Обычный 10" xfId="38"/>
    <cellStyle name="Обычный 10 2" xfId="82"/>
    <cellStyle name="Обычный 10_Расходы 2020-2022 1" xfId="79"/>
    <cellStyle name="Обычный 11" xfId="67"/>
    <cellStyle name="Обычный 12" xfId="69"/>
    <cellStyle name="Обычный 13" xfId="71"/>
    <cellStyle name="Обычный 14" xfId="73"/>
    <cellStyle name="Обычный 15" xfId="75"/>
    <cellStyle name="Обычный 16" xfId="77"/>
    <cellStyle name="Обычный 17" xfId="85"/>
    <cellStyle name="Обычный 18" xfId="86"/>
    <cellStyle name="Обычный 19" xfId="87"/>
    <cellStyle name="Обычный 2" xfId="39"/>
    <cellStyle name="Обычный 2 2" xfId="40"/>
    <cellStyle name="Обычный 2 2 2" xfId="41"/>
    <cellStyle name="Обычный 2 2_Расходы 2019-2021 1" xfId="42"/>
    <cellStyle name="Обычный 2 3" xfId="43"/>
    <cellStyle name="Обычный 2 3 2" xfId="44"/>
    <cellStyle name="Обычный 2 3_Расходы 2019-2021 1" xfId="45"/>
    <cellStyle name="Обычный 2 4" xfId="68"/>
    <cellStyle name="Обычный 2 5" xfId="70"/>
    <cellStyle name="Обычный 2 6" xfId="72"/>
    <cellStyle name="Обычный 2 7" xfId="74"/>
    <cellStyle name="Обычный 2 8" xfId="76"/>
    <cellStyle name="Обычный 2 9" xfId="78"/>
    <cellStyle name="Обычный 2_Расходы 2019-2021 1" xfId="46"/>
    <cellStyle name="Обычный 20" xfId="88"/>
    <cellStyle name="Обычный 26" xfId="83"/>
    <cellStyle name="Обычный 3" xfId="47"/>
    <cellStyle name="Обычный 3 2" xfId="80"/>
    <cellStyle name="Обычный 4" xfId="48"/>
    <cellStyle name="Обычный 5" xfId="49"/>
    <cellStyle name="Обычный 6" xfId="50"/>
    <cellStyle name="Обычный 7" xfId="51"/>
    <cellStyle name="Обычный 8" xfId="52"/>
    <cellStyle name="Обычный 8 2" xfId="53"/>
    <cellStyle name="Обычный 8 2 2" xfId="54"/>
    <cellStyle name="Обычный 8 2_Расходы 2019-2021 1" xfId="55"/>
    <cellStyle name="Обычный 8 3" xfId="56"/>
    <cellStyle name="Обычный 8_Расходы 2019-2021 1" xfId="57"/>
    <cellStyle name="Обычный 9" xfId="58"/>
    <cellStyle name="Плохой" xfId="59" builtinId="27" customBuiltin="1"/>
    <cellStyle name="Пояснение" xfId="60" builtinId="53" customBuiltin="1"/>
    <cellStyle name="Пояснение 2" xfId="61"/>
    <cellStyle name="Примечание" xfId="62" builtinId="10" customBuiltin="1"/>
    <cellStyle name="Примечание 2" xfId="63"/>
    <cellStyle name="Связанная ячейка" xfId="64" builtinId="24" customBuiltin="1"/>
    <cellStyle name="Текст предупреждения" xfId="65" builtinId="11" customBuiltin="1"/>
    <cellStyle name="Финансовый" xfId="84" builtinId="3"/>
    <cellStyle name="Финансовый 2" xfId="81"/>
    <cellStyle name="Хороший" xfId="66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E46C0A"/>
      <rgbColor rgb="00666699"/>
      <rgbColor rgb="00B2B2B2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demina_oa\Desktop\&#1041;&#1102;&#1076;&#1078;&#1077;&#1090;%202018\&#1056;&#1072;&#1089;&#1093;&#1086;&#1076;&#109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6;&#1072;&#1089;&#1093;&#1086;&#1076;&#1099;%202021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БС"/>
      <sheetName val="18-город"/>
      <sheetName val="19-20-город"/>
      <sheetName val="В-18"/>
      <sheetName val="В-19-20"/>
      <sheetName val="Ф-18"/>
      <sheetName val="Ф-19-20"/>
      <sheetName val="публ 18"/>
      <sheetName val="публ 19-20"/>
    </sheetNames>
    <sheetDataSet>
      <sheetData sheetId="0"/>
      <sheetData sheetId="1"/>
      <sheetData sheetId="2"/>
      <sheetData sheetId="3">
        <row r="343">
          <cell r="G343">
            <v>2348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21-город"/>
      <sheetName val="22-23"/>
      <sheetName val="В-21"/>
      <sheetName val="В-22- 23"/>
      <sheetName val="Ф-21"/>
      <sheetName val="Ф-22-23"/>
      <sheetName val="публ 21"/>
      <sheetName val="публ 22-23"/>
    </sheetNames>
    <sheetDataSet>
      <sheetData sheetId="0"/>
      <sheetData sheetId="1"/>
      <sheetData sheetId="2"/>
      <sheetData sheetId="3">
        <row r="12">
          <cell r="G12">
            <v>719.9</v>
          </cell>
        </row>
        <row r="26">
          <cell r="G26">
            <v>0</v>
          </cell>
        </row>
        <row r="53">
          <cell r="G53">
            <v>0</v>
          </cell>
        </row>
        <row r="60">
          <cell r="G60">
            <v>0</v>
          </cell>
        </row>
        <row r="88">
          <cell r="G88">
            <v>0</v>
          </cell>
        </row>
        <row r="109">
          <cell r="G109">
            <v>0</v>
          </cell>
        </row>
        <row r="133">
          <cell r="G133">
            <v>0</v>
          </cell>
        </row>
        <row r="137">
          <cell r="G137">
            <v>0</v>
          </cell>
        </row>
        <row r="149">
          <cell r="G149">
            <v>0</v>
          </cell>
        </row>
        <row r="152">
          <cell r="G152">
            <v>0</v>
          </cell>
        </row>
        <row r="156">
          <cell r="G156">
            <v>0</v>
          </cell>
        </row>
        <row r="158">
          <cell r="G158">
            <v>0</v>
          </cell>
        </row>
        <row r="170">
          <cell r="G170">
            <v>0</v>
          </cell>
        </row>
        <row r="213">
          <cell r="G213">
            <v>0</v>
          </cell>
        </row>
        <row r="240">
          <cell r="G240">
            <v>0</v>
          </cell>
        </row>
        <row r="294">
          <cell r="G294">
            <v>0</v>
          </cell>
        </row>
        <row r="305">
          <cell r="G305">
            <v>0</v>
          </cell>
        </row>
        <row r="306">
          <cell r="G306">
            <v>0</v>
          </cell>
        </row>
        <row r="308">
          <cell r="G308">
            <v>0</v>
          </cell>
        </row>
        <row r="309">
          <cell r="G309">
            <v>0</v>
          </cell>
        </row>
        <row r="311">
          <cell r="G311">
            <v>0</v>
          </cell>
        </row>
        <row r="375">
          <cell r="G375">
            <v>0</v>
          </cell>
        </row>
        <row r="408">
          <cell r="G408">
            <v>0</v>
          </cell>
        </row>
        <row r="500">
          <cell r="G500">
            <v>0</v>
          </cell>
        </row>
        <row r="534">
          <cell r="G534">
            <v>0</v>
          </cell>
        </row>
        <row r="568">
          <cell r="G568">
            <v>0</v>
          </cell>
        </row>
        <row r="584">
          <cell r="G584">
            <v>0</v>
          </cell>
        </row>
        <row r="586">
          <cell r="G586">
            <v>0</v>
          </cell>
        </row>
        <row r="597">
          <cell r="G597">
            <v>0</v>
          </cell>
        </row>
        <row r="746">
          <cell r="G746">
            <v>0</v>
          </cell>
        </row>
        <row r="785">
          <cell r="G785">
            <v>0</v>
          </cell>
        </row>
        <row r="809">
          <cell r="G809">
            <v>0</v>
          </cell>
        </row>
        <row r="838">
          <cell r="G838">
            <v>0</v>
          </cell>
        </row>
        <row r="855">
          <cell r="G855">
            <v>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IT63"/>
  <sheetViews>
    <sheetView zoomScale="60" zoomScaleNormal="60" workbookViewId="0">
      <selection activeCell="P12" sqref="P12"/>
    </sheetView>
  </sheetViews>
  <sheetFormatPr defaultColWidth="7.140625" defaultRowHeight="15" outlineLevelRow="1" x14ac:dyDescent="0.25"/>
  <cols>
    <col min="1" max="1" width="55.5703125" style="38" customWidth="1"/>
    <col min="2" max="2" width="7.140625" style="38" customWidth="1"/>
    <col min="3" max="3" width="8.42578125" style="38" customWidth="1"/>
    <col min="4" max="4" width="15.85546875" style="38" customWidth="1"/>
    <col min="5" max="5" width="10.42578125" style="38" customWidth="1"/>
    <col min="6" max="6" width="20.42578125" style="149" customWidth="1"/>
    <col min="7" max="10" width="0" style="38" hidden="1" customWidth="1"/>
    <col min="11" max="11" width="15.5703125" style="38" customWidth="1"/>
    <col min="12" max="254" width="9.140625" style="38" customWidth="1"/>
    <col min="255" max="255" width="55.5703125" style="38" customWidth="1"/>
    <col min="256" max="16384" width="7.140625" style="38"/>
  </cols>
  <sheetData>
    <row r="1" spans="1:254" ht="18.75" x14ac:dyDescent="0.3">
      <c r="A1" s="297" t="s">
        <v>677</v>
      </c>
      <c r="B1" s="297"/>
      <c r="C1" s="297"/>
      <c r="D1" s="297"/>
      <c r="E1" s="297"/>
      <c r="F1" s="29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7"/>
      <c r="IH1" s="37"/>
      <c r="II1" s="37"/>
      <c r="IJ1" s="37"/>
      <c r="IK1" s="37"/>
      <c r="IL1" s="37"/>
      <c r="IM1" s="37"/>
      <c r="IN1" s="37"/>
      <c r="IO1" s="37"/>
      <c r="IP1" s="37"/>
      <c r="IQ1" s="37"/>
      <c r="IR1" s="37"/>
      <c r="IS1" s="37"/>
      <c r="IT1" s="37"/>
    </row>
    <row r="2" spans="1:254" ht="18.75" x14ac:dyDescent="0.3">
      <c r="A2" s="298" t="s">
        <v>335</v>
      </c>
      <c r="B2" s="298"/>
      <c r="C2" s="298"/>
      <c r="D2" s="298"/>
      <c r="E2" s="298"/>
      <c r="F2" s="298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  <c r="GA2" s="37"/>
      <c r="GB2" s="37"/>
      <c r="GC2" s="37"/>
      <c r="GD2" s="37"/>
      <c r="GE2" s="37"/>
      <c r="GF2" s="37"/>
      <c r="GG2" s="37"/>
      <c r="GH2" s="37"/>
      <c r="GI2" s="37"/>
      <c r="GJ2" s="37"/>
      <c r="GK2" s="37"/>
      <c r="GL2" s="37"/>
      <c r="GM2" s="37"/>
      <c r="GN2" s="37"/>
      <c r="GO2" s="37"/>
      <c r="GP2" s="37"/>
      <c r="GQ2" s="37"/>
      <c r="GR2" s="37"/>
      <c r="GS2" s="37"/>
      <c r="GT2" s="37"/>
      <c r="GU2" s="37"/>
      <c r="GV2" s="37"/>
      <c r="GW2" s="37"/>
      <c r="GX2" s="37"/>
      <c r="GY2" s="37"/>
      <c r="GZ2" s="37"/>
      <c r="HA2" s="37"/>
      <c r="HB2" s="37"/>
      <c r="HC2" s="37"/>
      <c r="HD2" s="37"/>
      <c r="HE2" s="37"/>
      <c r="HF2" s="37"/>
      <c r="HG2" s="37"/>
      <c r="HH2" s="37"/>
      <c r="HI2" s="37"/>
      <c r="HJ2" s="37"/>
      <c r="HK2" s="37"/>
      <c r="HL2" s="37"/>
      <c r="HM2" s="37"/>
      <c r="HN2" s="37"/>
      <c r="HO2" s="37"/>
      <c r="HP2" s="37"/>
      <c r="HQ2" s="37"/>
      <c r="HR2" s="37"/>
      <c r="HS2" s="37"/>
      <c r="HT2" s="37"/>
      <c r="HU2" s="37"/>
      <c r="HV2" s="37"/>
      <c r="HW2" s="37"/>
      <c r="HX2" s="37"/>
      <c r="HY2" s="37"/>
      <c r="HZ2" s="37"/>
      <c r="IA2" s="37"/>
      <c r="IB2" s="37"/>
      <c r="IC2" s="37"/>
      <c r="ID2" s="37"/>
      <c r="IE2" s="37"/>
      <c r="IF2" s="37"/>
      <c r="IG2" s="37"/>
      <c r="IH2" s="37"/>
      <c r="II2" s="37"/>
      <c r="IJ2" s="37"/>
      <c r="IK2" s="37"/>
      <c r="IL2" s="37"/>
      <c r="IM2" s="37"/>
      <c r="IN2" s="37"/>
      <c r="IO2" s="37"/>
      <c r="IP2" s="37"/>
      <c r="IQ2" s="37"/>
      <c r="IR2" s="37"/>
      <c r="IS2" s="37"/>
      <c r="IT2" s="37"/>
    </row>
    <row r="3" spans="1:254" ht="18.75" x14ac:dyDescent="0.3">
      <c r="A3" s="298" t="s">
        <v>336</v>
      </c>
      <c r="B3" s="298"/>
      <c r="C3" s="298"/>
      <c r="D3" s="298"/>
      <c r="E3" s="298"/>
      <c r="F3" s="298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  <c r="DW3" s="37"/>
      <c r="DX3" s="37"/>
      <c r="DY3" s="37"/>
      <c r="DZ3" s="37"/>
      <c r="EA3" s="37"/>
      <c r="EB3" s="37"/>
      <c r="EC3" s="37"/>
      <c r="ED3" s="37"/>
      <c r="EE3" s="37"/>
      <c r="EF3" s="37"/>
      <c r="EG3" s="37"/>
      <c r="EH3" s="37"/>
      <c r="EI3" s="37"/>
      <c r="EJ3" s="37"/>
      <c r="EK3" s="37"/>
      <c r="EL3" s="37"/>
      <c r="EM3" s="37"/>
      <c r="EN3" s="37"/>
      <c r="EO3" s="37"/>
      <c r="EP3" s="37"/>
      <c r="EQ3" s="37"/>
      <c r="ER3" s="37"/>
      <c r="ES3" s="37"/>
      <c r="ET3" s="37"/>
      <c r="EU3" s="37"/>
      <c r="EV3" s="37"/>
      <c r="EW3" s="37"/>
      <c r="EX3" s="37"/>
      <c r="EY3" s="37"/>
      <c r="EZ3" s="37"/>
      <c r="FA3" s="37"/>
      <c r="FB3" s="37"/>
      <c r="FC3" s="37"/>
      <c r="FD3" s="37"/>
      <c r="FE3" s="37"/>
      <c r="FF3" s="37"/>
      <c r="FG3" s="37"/>
      <c r="FH3" s="37"/>
      <c r="FI3" s="37"/>
      <c r="FJ3" s="37"/>
      <c r="FK3" s="37"/>
      <c r="FL3" s="37"/>
      <c r="FM3" s="37"/>
      <c r="FN3" s="37"/>
      <c r="FO3" s="37"/>
      <c r="FP3" s="37"/>
      <c r="FQ3" s="37"/>
      <c r="FR3" s="37"/>
      <c r="FS3" s="37"/>
      <c r="FT3" s="37"/>
      <c r="FU3" s="37"/>
      <c r="FV3" s="37"/>
      <c r="FW3" s="37"/>
      <c r="FX3" s="37"/>
      <c r="FY3" s="37"/>
      <c r="FZ3" s="37"/>
      <c r="GA3" s="37"/>
      <c r="GB3" s="37"/>
      <c r="GC3" s="37"/>
      <c r="GD3" s="37"/>
      <c r="GE3" s="37"/>
      <c r="GF3" s="37"/>
      <c r="GG3" s="37"/>
      <c r="GH3" s="37"/>
      <c r="GI3" s="37"/>
      <c r="GJ3" s="37"/>
      <c r="GK3" s="37"/>
      <c r="GL3" s="37"/>
      <c r="GM3" s="37"/>
      <c r="GN3" s="37"/>
      <c r="GO3" s="37"/>
      <c r="GP3" s="37"/>
      <c r="GQ3" s="37"/>
      <c r="GR3" s="37"/>
      <c r="GS3" s="37"/>
      <c r="GT3" s="37"/>
      <c r="GU3" s="37"/>
      <c r="GV3" s="37"/>
      <c r="GW3" s="37"/>
      <c r="GX3" s="37"/>
      <c r="GY3" s="37"/>
      <c r="GZ3" s="37"/>
      <c r="HA3" s="37"/>
      <c r="HB3" s="37"/>
      <c r="HC3" s="37"/>
      <c r="HD3" s="37"/>
      <c r="HE3" s="37"/>
      <c r="HF3" s="37"/>
      <c r="HG3" s="37"/>
      <c r="HH3" s="37"/>
      <c r="HI3" s="37"/>
      <c r="HJ3" s="37"/>
      <c r="HK3" s="37"/>
      <c r="HL3" s="37"/>
      <c r="HM3" s="37"/>
      <c r="HN3" s="37"/>
      <c r="HO3" s="37"/>
      <c r="HP3" s="37"/>
      <c r="HQ3" s="37"/>
      <c r="HR3" s="37"/>
      <c r="HS3" s="37"/>
      <c r="HT3" s="37"/>
      <c r="HU3" s="37"/>
      <c r="HV3" s="37"/>
      <c r="HW3" s="37"/>
      <c r="HX3" s="37"/>
      <c r="HY3" s="37"/>
      <c r="HZ3" s="37"/>
      <c r="IA3" s="37"/>
      <c r="IB3" s="37"/>
      <c r="IC3" s="37"/>
      <c r="ID3" s="37"/>
      <c r="IE3" s="37"/>
      <c r="IF3" s="37"/>
      <c r="IG3" s="37"/>
      <c r="IH3" s="37"/>
      <c r="II3" s="37"/>
      <c r="IJ3" s="37"/>
      <c r="IK3" s="37"/>
      <c r="IL3" s="37"/>
      <c r="IM3" s="37"/>
      <c r="IN3" s="37"/>
      <c r="IO3" s="37"/>
      <c r="IP3" s="37"/>
      <c r="IQ3" s="37"/>
      <c r="IR3" s="37"/>
      <c r="IS3" s="37"/>
      <c r="IT3" s="37"/>
    </row>
    <row r="4" spans="1:254" ht="18.75" x14ac:dyDescent="0.3">
      <c r="A4" s="298" t="s">
        <v>1197</v>
      </c>
      <c r="B4" s="298"/>
      <c r="C4" s="298"/>
      <c r="D4" s="298"/>
      <c r="E4" s="298"/>
      <c r="F4" s="298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  <c r="CU4" s="37"/>
      <c r="CV4" s="37"/>
      <c r="CW4" s="37"/>
      <c r="CX4" s="37"/>
      <c r="CY4" s="37"/>
      <c r="CZ4" s="37"/>
      <c r="DA4" s="37"/>
      <c r="DB4" s="37"/>
      <c r="DC4" s="37"/>
      <c r="DD4" s="37"/>
      <c r="DE4" s="37"/>
      <c r="DF4" s="37"/>
      <c r="DG4" s="37"/>
      <c r="DH4" s="37"/>
      <c r="DI4" s="37"/>
      <c r="DJ4" s="37"/>
      <c r="DK4" s="37"/>
      <c r="DL4" s="37"/>
      <c r="DM4" s="37"/>
      <c r="DN4" s="37"/>
      <c r="DO4" s="37"/>
      <c r="DP4" s="37"/>
      <c r="DQ4" s="37"/>
      <c r="DR4" s="37"/>
      <c r="DS4" s="37"/>
      <c r="DT4" s="37"/>
      <c r="DU4" s="37"/>
      <c r="DV4" s="37"/>
      <c r="DW4" s="37"/>
      <c r="DX4" s="37"/>
      <c r="DY4" s="37"/>
      <c r="DZ4" s="37"/>
      <c r="EA4" s="37"/>
      <c r="EB4" s="37"/>
      <c r="EC4" s="37"/>
      <c r="ED4" s="37"/>
      <c r="EE4" s="37"/>
      <c r="EF4" s="37"/>
      <c r="EG4" s="37"/>
      <c r="EH4" s="37"/>
      <c r="EI4" s="37"/>
      <c r="EJ4" s="37"/>
      <c r="EK4" s="37"/>
      <c r="EL4" s="37"/>
      <c r="EM4" s="37"/>
      <c r="EN4" s="37"/>
      <c r="EO4" s="37"/>
      <c r="EP4" s="37"/>
      <c r="EQ4" s="37"/>
      <c r="ER4" s="37"/>
      <c r="ES4" s="37"/>
      <c r="ET4" s="37"/>
      <c r="EU4" s="37"/>
      <c r="EV4" s="37"/>
      <c r="EW4" s="37"/>
      <c r="EX4" s="37"/>
      <c r="EY4" s="37"/>
      <c r="EZ4" s="37"/>
      <c r="FA4" s="37"/>
      <c r="FB4" s="37"/>
      <c r="FC4" s="37"/>
      <c r="FD4" s="37"/>
      <c r="FE4" s="37"/>
      <c r="FF4" s="37"/>
      <c r="FG4" s="37"/>
      <c r="FH4" s="37"/>
      <c r="FI4" s="37"/>
      <c r="FJ4" s="37"/>
      <c r="FK4" s="37"/>
      <c r="FL4" s="37"/>
      <c r="FM4" s="37"/>
      <c r="FN4" s="37"/>
      <c r="FO4" s="37"/>
      <c r="FP4" s="37"/>
      <c r="FQ4" s="37"/>
      <c r="FR4" s="37"/>
      <c r="FS4" s="37"/>
      <c r="FT4" s="37"/>
      <c r="FU4" s="37"/>
      <c r="FV4" s="37"/>
      <c r="FW4" s="37"/>
      <c r="FX4" s="37"/>
      <c r="FY4" s="37"/>
      <c r="FZ4" s="37"/>
      <c r="GA4" s="37"/>
      <c r="GB4" s="37"/>
      <c r="GC4" s="37"/>
      <c r="GD4" s="37"/>
      <c r="GE4" s="37"/>
      <c r="GF4" s="37"/>
      <c r="GG4" s="37"/>
      <c r="GH4" s="37"/>
      <c r="GI4" s="37"/>
      <c r="GJ4" s="37"/>
      <c r="GK4" s="37"/>
      <c r="GL4" s="37"/>
      <c r="GM4" s="37"/>
      <c r="GN4" s="37"/>
      <c r="GO4" s="37"/>
      <c r="GP4" s="37"/>
      <c r="GQ4" s="37"/>
      <c r="GR4" s="37"/>
      <c r="GS4" s="37"/>
      <c r="GT4" s="37"/>
      <c r="GU4" s="37"/>
      <c r="GV4" s="37"/>
      <c r="GW4" s="37"/>
      <c r="GX4" s="37"/>
      <c r="GY4" s="37"/>
      <c r="GZ4" s="37"/>
      <c r="HA4" s="37"/>
      <c r="HB4" s="37"/>
      <c r="HC4" s="37"/>
      <c r="HD4" s="37"/>
      <c r="HE4" s="37"/>
      <c r="HF4" s="37"/>
      <c r="HG4" s="37"/>
      <c r="HH4" s="37"/>
      <c r="HI4" s="37"/>
      <c r="HJ4" s="37"/>
      <c r="HK4" s="37"/>
      <c r="HL4" s="37"/>
      <c r="HM4" s="37"/>
      <c r="HN4" s="37"/>
      <c r="HO4" s="37"/>
      <c r="HP4" s="37"/>
      <c r="HQ4" s="37"/>
      <c r="HR4" s="37"/>
      <c r="HS4" s="37"/>
      <c r="HT4" s="37"/>
      <c r="HU4" s="37"/>
      <c r="HV4" s="37"/>
      <c r="HW4" s="37"/>
      <c r="HX4" s="37"/>
      <c r="HY4" s="37"/>
      <c r="HZ4" s="37"/>
      <c r="IA4" s="37"/>
      <c r="IB4" s="37"/>
      <c r="IC4" s="37"/>
      <c r="ID4" s="37"/>
      <c r="IE4" s="37"/>
      <c r="IF4" s="37"/>
      <c r="IG4" s="37"/>
      <c r="IH4" s="37"/>
      <c r="II4" s="37"/>
      <c r="IJ4" s="37"/>
      <c r="IK4" s="37"/>
      <c r="IL4" s="37"/>
      <c r="IM4" s="37"/>
      <c r="IN4" s="37"/>
      <c r="IO4" s="37"/>
      <c r="IP4" s="37"/>
      <c r="IQ4" s="37"/>
      <c r="IR4" s="37"/>
      <c r="IS4" s="37"/>
      <c r="IT4" s="37"/>
    </row>
    <row r="5" spans="1:254" ht="18.75" x14ac:dyDescent="0.3">
      <c r="A5" s="299"/>
      <c r="B5" s="299"/>
      <c r="C5" s="299"/>
      <c r="D5" s="299"/>
      <c r="E5" s="299"/>
      <c r="F5" s="4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/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  <c r="FZ5" s="37"/>
      <c r="GA5" s="37"/>
      <c r="GB5" s="37"/>
      <c r="GC5" s="37"/>
      <c r="GD5" s="37"/>
      <c r="GE5" s="37"/>
      <c r="GF5" s="37"/>
      <c r="GG5" s="37"/>
      <c r="GH5" s="37"/>
      <c r="GI5" s="37"/>
      <c r="GJ5" s="37"/>
      <c r="GK5" s="37"/>
      <c r="GL5" s="37"/>
      <c r="GM5" s="37"/>
      <c r="GN5" s="37"/>
      <c r="GO5" s="37"/>
      <c r="GP5" s="37"/>
      <c r="GQ5" s="37"/>
      <c r="GR5" s="37"/>
      <c r="GS5" s="37"/>
      <c r="GT5" s="37"/>
      <c r="GU5" s="37"/>
      <c r="GV5" s="37"/>
      <c r="GW5" s="37"/>
      <c r="GX5" s="37"/>
      <c r="GY5" s="37"/>
      <c r="GZ5" s="37"/>
      <c r="HA5" s="37"/>
      <c r="HB5" s="37"/>
      <c r="HC5" s="37"/>
      <c r="HD5" s="37"/>
      <c r="HE5" s="37"/>
      <c r="HF5" s="37"/>
      <c r="HG5" s="37"/>
      <c r="HH5" s="37"/>
      <c r="HI5" s="37"/>
      <c r="HJ5" s="37"/>
      <c r="HK5" s="37"/>
      <c r="HL5" s="37"/>
      <c r="HM5" s="37"/>
      <c r="HN5" s="37"/>
      <c r="HO5" s="37"/>
      <c r="HP5" s="37"/>
      <c r="HQ5" s="37"/>
      <c r="HR5" s="37"/>
      <c r="HS5" s="37"/>
      <c r="HT5" s="37"/>
      <c r="HU5" s="37"/>
      <c r="HV5" s="37"/>
      <c r="HW5" s="37"/>
      <c r="HX5" s="37"/>
      <c r="HY5" s="37"/>
      <c r="HZ5" s="37"/>
      <c r="IA5" s="37"/>
      <c r="IB5" s="37"/>
      <c r="IC5" s="37"/>
      <c r="ID5" s="37"/>
      <c r="IE5" s="37"/>
      <c r="IF5" s="37"/>
      <c r="IG5" s="37"/>
      <c r="IH5" s="37"/>
      <c r="II5" s="37"/>
      <c r="IJ5" s="37"/>
      <c r="IK5" s="37"/>
      <c r="IL5" s="37"/>
      <c r="IM5" s="37"/>
      <c r="IN5" s="37"/>
      <c r="IO5" s="37"/>
      <c r="IP5" s="37"/>
      <c r="IQ5" s="37"/>
      <c r="IR5" s="37"/>
      <c r="IS5" s="37"/>
      <c r="IT5" s="37"/>
    </row>
    <row r="6" spans="1:254" ht="37.5" customHeight="1" x14ac:dyDescent="0.3">
      <c r="A6" s="300" t="s">
        <v>337</v>
      </c>
      <c r="B6" s="300"/>
      <c r="C6" s="300"/>
      <c r="D6" s="300"/>
      <c r="E6" s="300"/>
      <c r="F6" s="4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  <c r="ER6" s="37"/>
      <c r="ES6" s="37"/>
      <c r="ET6" s="37"/>
      <c r="EU6" s="37"/>
      <c r="EV6" s="37"/>
      <c r="EW6" s="37"/>
      <c r="EX6" s="37"/>
      <c r="EY6" s="37"/>
      <c r="EZ6" s="37"/>
      <c r="FA6" s="37"/>
      <c r="FB6" s="37"/>
      <c r="FC6" s="37"/>
      <c r="FD6" s="37"/>
      <c r="FE6" s="37"/>
      <c r="FF6" s="37"/>
      <c r="FG6" s="37"/>
      <c r="FH6" s="37"/>
      <c r="FI6" s="37"/>
      <c r="FJ6" s="37"/>
      <c r="FK6" s="37"/>
      <c r="FL6" s="37"/>
      <c r="FM6" s="37"/>
      <c r="FN6" s="37"/>
      <c r="FO6" s="37"/>
      <c r="FP6" s="37"/>
      <c r="FQ6" s="37"/>
      <c r="FR6" s="37"/>
      <c r="FS6" s="37"/>
      <c r="FT6" s="37"/>
      <c r="FU6" s="37"/>
      <c r="FV6" s="37"/>
      <c r="FW6" s="37"/>
      <c r="FX6" s="37"/>
      <c r="FY6" s="37"/>
      <c r="FZ6" s="37"/>
      <c r="GA6" s="37"/>
      <c r="GB6" s="37"/>
      <c r="GC6" s="37"/>
      <c r="GD6" s="37"/>
      <c r="GE6" s="37"/>
      <c r="GF6" s="37"/>
      <c r="GG6" s="37"/>
      <c r="GH6" s="37"/>
      <c r="GI6" s="37"/>
      <c r="GJ6" s="37"/>
      <c r="GK6" s="37"/>
      <c r="GL6" s="37"/>
      <c r="GM6" s="37"/>
      <c r="GN6" s="37"/>
      <c r="GO6" s="37"/>
      <c r="GP6" s="37"/>
      <c r="GQ6" s="37"/>
      <c r="GR6" s="37"/>
      <c r="GS6" s="37"/>
      <c r="GT6" s="37"/>
      <c r="GU6" s="37"/>
      <c r="GV6" s="37"/>
      <c r="GW6" s="37"/>
      <c r="GX6" s="37"/>
      <c r="GY6" s="37"/>
      <c r="GZ6" s="37"/>
      <c r="HA6" s="37"/>
      <c r="HB6" s="37"/>
      <c r="HC6" s="37"/>
      <c r="HD6" s="37"/>
      <c r="HE6" s="37"/>
      <c r="HF6" s="37"/>
      <c r="HG6" s="37"/>
      <c r="HH6" s="37"/>
      <c r="HI6" s="37"/>
      <c r="HJ6" s="37"/>
      <c r="HK6" s="37"/>
      <c r="HL6" s="37"/>
      <c r="HM6" s="37"/>
      <c r="HN6" s="37"/>
      <c r="HO6" s="37"/>
      <c r="HP6" s="37"/>
      <c r="HQ6" s="37"/>
      <c r="HR6" s="37"/>
      <c r="HS6" s="37"/>
      <c r="HT6" s="37"/>
      <c r="HU6" s="37"/>
      <c r="HV6" s="37"/>
      <c r="HW6" s="37"/>
      <c r="HX6" s="37"/>
      <c r="HY6" s="37"/>
      <c r="HZ6" s="37"/>
      <c r="IA6" s="37"/>
      <c r="IB6" s="37"/>
      <c r="IC6" s="37"/>
      <c r="ID6" s="37"/>
      <c r="IE6" s="37"/>
      <c r="IF6" s="37"/>
      <c r="IG6" s="37"/>
      <c r="IH6" s="37"/>
      <c r="II6" s="37"/>
      <c r="IJ6" s="37"/>
      <c r="IK6" s="37"/>
      <c r="IL6" s="37"/>
      <c r="IM6" s="37"/>
      <c r="IN6" s="37"/>
      <c r="IO6" s="37"/>
      <c r="IP6" s="37"/>
      <c r="IQ6" s="37"/>
      <c r="IR6" s="37"/>
      <c r="IS6" s="37"/>
      <c r="IT6" s="37"/>
    </row>
    <row r="7" spans="1:254" x14ac:dyDescent="0.25">
      <c r="A7" s="37"/>
      <c r="B7" s="37"/>
      <c r="C7" s="37"/>
      <c r="D7" s="37"/>
      <c r="E7" s="37"/>
      <c r="F7" s="4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  <c r="HU7" s="37"/>
      <c r="HV7" s="37"/>
      <c r="HW7" s="37"/>
      <c r="HX7" s="37"/>
      <c r="HY7" s="37"/>
      <c r="HZ7" s="37"/>
      <c r="IA7" s="37"/>
      <c r="IB7" s="37"/>
      <c r="IC7" s="37"/>
      <c r="ID7" s="37"/>
      <c r="IE7" s="37"/>
      <c r="IF7" s="37"/>
      <c r="IG7" s="37"/>
      <c r="IH7" s="37"/>
      <c r="II7" s="37"/>
      <c r="IJ7" s="37"/>
      <c r="IK7" s="37"/>
      <c r="IL7" s="37"/>
      <c r="IM7" s="37"/>
      <c r="IN7" s="37"/>
      <c r="IO7" s="37"/>
      <c r="IP7" s="37"/>
      <c r="IQ7" s="37"/>
      <c r="IR7" s="37"/>
      <c r="IS7" s="37"/>
      <c r="IT7" s="37"/>
    </row>
    <row r="8" spans="1:254" ht="12.75" customHeight="1" x14ac:dyDescent="0.25">
      <c r="A8" s="301" t="s">
        <v>46</v>
      </c>
      <c r="B8" s="302" t="s">
        <v>109</v>
      </c>
      <c r="C8" s="302" t="s">
        <v>110</v>
      </c>
      <c r="D8" s="302" t="s">
        <v>47</v>
      </c>
      <c r="E8" s="302" t="s">
        <v>338</v>
      </c>
      <c r="F8" s="295" t="s">
        <v>1200</v>
      </c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  <c r="EO8" s="37"/>
      <c r="EP8" s="37"/>
      <c r="EQ8" s="37"/>
      <c r="ER8" s="37"/>
      <c r="ES8" s="37"/>
      <c r="ET8" s="37"/>
      <c r="EU8" s="37"/>
      <c r="EV8" s="37"/>
      <c r="EW8" s="37"/>
      <c r="EX8" s="37"/>
      <c r="EY8" s="37"/>
      <c r="EZ8" s="37"/>
      <c r="FA8" s="37"/>
      <c r="FB8" s="37"/>
      <c r="FC8" s="37"/>
      <c r="FD8" s="37"/>
      <c r="FE8" s="37"/>
      <c r="FF8" s="37"/>
      <c r="FG8" s="37"/>
      <c r="FH8" s="37"/>
      <c r="FI8" s="37"/>
      <c r="FJ8" s="37"/>
      <c r="FK8" s="37"/>
      <c r="FL8" s="37"/>
      <c r="FM8" s="37"/>
      <c r="FN8" s="37"/>
      <c r="FO8" s="37"/>
      <c r="FP8" s="37"/>
      <c r="FQ8" s="37"/>
      <c r="FR8" s="37"/>
      <c r="FS8" s="37"/>
      <c r="FT8" s="37"/>
      <c r="FU8" s="37"/>
      <c r="FV8" s="37"/>
      <c r="FW8" s="37"/>
      <c r="FX8" s="37"/>
      <c r="FY8" s="37"/>
      <c r="FZ8" s="37"/>
      <c r="GA8" s="37"/>
      <c r="GB8" s="37"/>
      <c r="GC8" s="37"/>
      <c r="GD8" s="37"/>
      <c r="GE8" s="37"/>
      <c r="GF8" s="37"/>
      <c r="GG8" s="37"/>
      <c r="GH8" s="37"/>
      <c r="GI8" s="37"/>
      <c r="GJ8" s="37"/>
      <c r="GK8" s="37"/>
      <c r="GL8" s="37"/>
      <c r="GM8" s="37"/>
      <c r="GN8" s="37"/>
      <c r="GO8" s="37"/>
      <c r="GP8" s="37"/>
      <c r="GQ8" s="37"/>
      <c r="GR8" s="37"/>
      <c r="GS8" s="37"/>
      <c r="GT8" s="37"/>
      <c r="GU8" s="37"/>
      <c r="GV8" s="37"/>
      <c r="GW8" s="37"/>
      <c r="GX8" s="37"/>
      <c r="GY8" s="37"/>
      <c r="GZ8" s="37"/>
      <c r="HA8" s="37"/>
      <c r="HB8" s="37"/>
      <c r="HC8" s="37"/>
      <c r="HD8" s="37"/>
      <c r="HE8" s="37"/>
      <c r="HF8" s="37"/>
      <c r="HG8" s="37"/>
      <c r="HH8" s="37"/>
      <c r="HI8" s="37"/>
      <c r="HJ8" s="37"/>
      <c r="HK8" s="37"/>
      <c r="HL8" s="37"/>
      <c r="HM8" s="37"/>
      <c r="HN8" s="37"/>
      <c r="HO8" s="37"/>
      <c r="HP8" s="37"/>
      <c r="HQ8" s="37"/>
      <c r="HR8" s="37"/>
      <c r="HS8" s="37"/>
      <c r="HT8" s="37"/>
      <c r="HU8" s="37"/>
      <c r="HV8" s="37"/>
      <c r="HW8" s="37"/>
      <c r="HX8" s="37"/>
      <c r="HY8" s="37"/>
      <c r="HZ8" s="37"/>
      <c r="IA8" s="37"/>
      <c r="IB8" s="37"/>
      <c r="IC8" s="37"/>
      <c r="ID8" s="37"/>
      <c r="IE8" s="37"/>
      <c r="IF8" s="37"/>
      <c r="IG8" s="37"/>
      <c r="IH8" s="37"/>
      <c r="II8" s="37"/>
      <c r="IJ8" s="37"/>
      <c r="IK8" s="37"/>
      <c r="IL8" s="37"/>
      <c r="IM8" s="37"/>
      <c r="IN8" s="37"/>
      <c r="IO8" s="37"/>
      <c r="IP8" s="37"/>
      <c r="IQ8" s="37"/>
      <c r="IR8" s="37"/>
      <c r="IS8" s="37"/>
      <c r="IT8" s="37"/>
    </row>
    <row r="9" spans="1:254" ht="43.5" customHeight="1" x14ac:dyDescent="0.25">
      <c r="A9" s="301"/>
      <c r="B9" s="302"/>
      <c r="C9" s="302"/>
      <c r="D9" s="302"/>
      <c r="E9" s="302"/>
      <c r="F9" s="296"/>
      <c r="G9" s="37"/>
      <c r="H9" s="39"/>
      <c r="I9" s="39" t="s">
        <v>339</v>
      </c>
      <c r="J9" s="39" t="s">
        <v>340</v>
      </c>
      <c r="K9" s="37"/>
      <c r="L9" s="39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  <c r="EL9" s="37"/>
      <c r="EM9" s="37"/>
      <c r="EN9" s="37"/>
      <c r="EO9" s="37"/>
      <c r="EP9" s="37"/>
      <c r="EQ9" s="37"/>
      <c r="ER9" s="37"/>
      <c r="ES9" s="37"/>
      <c r="ET9" s="37"/>
      <c r="EU9" s="37"/>
      <c r="EV9" s="37"/>
      <c r="EW9" s="37"/>
      <c r="EX9" s="37"/>
      <c r="EY9" s="37"/>
      <c r="EZ9" s="37"/>
      <c r="FA9" s="37"/>
      <c r="FB9" s="37"/>
      <c r="FC9" s="37"/>
      <c r="FD9" s="37"/>
      <c r="FE9" s="37"/>
      <c r="FF9" s="37"/>
      <c r="FG9" s="37"/>
      <c r="FH9" s="37"/>
      <c r="FI9" s="37"/>
      <c r="FJ9" s="37"/>
      <c r="FK9" s="37"/>
      <c r="FL9" s="37"/>
      <c r="FM9" s="37"/>
      <c r="FN9" s="37"/>
      <c r="FO9" s="37"/>
      <c r="FP9" s="37"/>
      <c r="FQ9" s="37"/>
      <c r="FR9" s="37"/>
      <c r="FS9" s="37"/>
      <c r="FT9" s="37"/>
      <c r="FU9" s="37"/>
      <c r="FV9" s="37"/>
      <c r="FW9" s="37"/>
      <c r="FX9" s="37"/>
      <c r="FY9" s="37"/>
      <c r="FZ9" s="37"/>
      <c r="GA9" s="37"/>
      <c r="GB9" s="37"/>
      <c r="GC9" s="37"/>
      <c r="GD9" s="37"/>
      <c r="GE9" s="37"/>
      <c r="GF9" s="37"/>
      <c r="GG9" s="37"/>
      <c r="GH9" s="37"/>
      <c r="GI9" s="37"/>
      <c r="GJ9" s="37"/>
      <c r="GK9" s="37"/>
      <c r="GL9" s="37"/>
      <c r="GM9" s="37"/>
      <c r="GN9" s="37"/>
      <c r="GO9" s="37"/>
      <c r="GP9" s="37"/>
      <c r="GQ9" s="37"/>
      <c r="GR9" s="37"/>
      <c r="GS9" s="37"/>
      <c r="GT9" s="37"/>
      <c r="GU9" s="37"/>
      <c r="GV9" s="37"/>
      <c r="GW9" s="37"/>
      <c r="GX9" s="37"/>
      <c r="GY9" s="37"/>
      <c r="GZ9" s="37"/>
      <c r="HA9" s="37"/>
      <c r="HB9" s="37"/>
      <c r="HC9" s="37"/>
      <c r="HD9" s="37"/>
      <c r="HE9" s="37"/>
      <c r="HF9" s="37"/>
      <c r="HG9" s="37"/>
      <c r="HH9" s="37"/>
      <c r="HI9" s="37"/>
      <c r="HJ9" s="37"/>
      <c r="HK9" s="37"/>
      <c r="HL9" s="37"/>
      <c r="HM9" s="37"/>
      <c r="HN9" s="37"/>
      <c r="HO9" s="37"/>
      <c r="HP9" s="37"/>
      <c r="HQ9" s="37"/>
      <c r="HR9" s="37"/>
      <c r="HS9" s="37"/>
      <c r="HT9" s="37"/>
      <c r="HU9" s="37"/>
      <c r="HV9" s="37"/>
      <c r="HW9" s="37"/>
      <c r="HX9" s="37"/>
      <c r="HY9" s="37"/>
      <c r="HZ9" s="37"/>
      <c r="IA9" s="37"/>
      <c r="IB9" s="37"/>
      <c r="IC9" s="37"/>
      <c r="ID9" s="37"/>
      <c r="IE9" s="37"/>
      <c r="IF9" s="37"/>
      <c r="IG9" s="37"/>
      <c r="IH9" s="37"/>
      <c r="II9" s="37"/>
      <c r="IJ9" s="37"/>
      <c r="IK9" s="37"/>
      <c r="IL9" s="37"/>
      <c r="IM9" s="37"/>
      <c r="IN9" s="37"/>
      <c r="IO9" s="37"/>
      <c r="IP9" s="37"/>
      <c r="IQ9" s="37"/>
      <c r="IR9" s="37"/>
      <c r="IS9" s="37"/>
      <c r="IT9" s="37"/>
    </row>
    <row r="10" spans="1:254" s="42" customFormat="1" ht="27" customHeight="1" x14ac:dyDescent="0.3">
      <c r="A10" s="40" t="s">
        <v>48</v>
      </c>
      <c r="B10" s="41" t="s">
        <v>112</v>
      </c>
      <c r="C10" s="41" t="s">
        <v>112</v>
      </c>
      <c r="D10" s="41" t="s">
        <v>49</v>
      </c>
      <c r="E10" s="41" t="s">
        <v>50</v>
      </c>
      <c r="F10" s="193">
        <f>F11+F22+F25+F30+F35+F38+F46+F54+F59+F62+F51+F49</f>
        <v>1557483.52</v>
      </c>
      <c r="H10" s="43"/>
      <c r="I10" s="43">
        <f>F12+F13+F14+F17-'[1]В-18'!G343</f>
        <v>61016.700000000004</v>
      </c>
      <c r="J10" s="42">
        <v>31556</v>
      </c>
      <c r="K10" s="39"/>
      <c r="L10" s="39"/>
    </row>
    <row r="11" spans="1:254" ht="19.5" customHeight="1" x14ac:dyDescent="0.3">
      <c r="A11" s="91" t="s">
        <v>114</v>
      </c>
      <c r="B11" s="44" t="s">
        <v>115</v>
      </c>
      <c r="C11" s="44" t="s">
        <v>112</v>
      </c>
      <c r="D11" s="44" t="s">
        <v>49</v>
      </c>
      <c r="E11" s="44" t="s">
        <v>50</v>
      </c>
      <c r="F11" s="45">
        <f>SUM(F12:F21)</f>
        <v>84890.200000000012</v>
      </c>
      <c r="H11" s="37"/>
      <c r="I11" s="37"/>
      <c r="J11" s="37"/>
      <c r="K11" s="43"/>
      <c r="L11" s="42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CY11" s="37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/>
      <c r="EA11" s="37"/>
      <c r="EB11" s="37"/>
      <c r="EC11" s="37"/>
      <c r="ED11" s="37"/>
      <c r="EE11" s="37"/>
      <c r="EF11" s="37"/>
      <c r="EG11" s="37"/>
      <c r="EH11" s="37"/>
      <c r="EI11" s="37"/>
      <c r="EJ11" s="37"/>
      <c r="EK11" s="37"/>
      <c r="EL11" s="37"/>
      <c r="EM11" s="37"/>
      <c r="EN11" s="37"/>
      <c r="EO11" s="37"/>
      <c r="EP11" s="37"/>
      <c r="EQ11" s="37"/>
      <c r="ER11" s="37"/>
      <c r="ES11" s="37"/>
      <c r="ET11" s="37"/>
      <c r="EU11" s="37"/>
      <c r="EV11" s="37"/>
      <c r="EW11" s="37"/>
      <c r="EX11" s="37"/>
      <c r="EY11" s="37"/>
      <c r="EZ11" s="37"/>
      <c r="FA11" s="37"/>
      <c r="FB11" s="37"/>
      <c r="FC11" s="37"/>
      <c r="FD11" s="37"/>
      <c r="FE11" s="37"/>
      <c r="FF11" s="37"/>
      <c r="FG11" s="37"/>
      <c r="FH11" s="37"/>
      <c r="FI11" s="37"/>
      <c r="FJ11" s="37"/>
      <c r="FK11" s="37"/>
      <c r="FL11" s="37"/>
      <c r="FM11" s="37"/>
      <c r="FN11" s="37"/>
      <c r="FO11" s="37"/>
      <c r="FP11" s="37"/>
      <c r="FQ11" s="37"/>
      <c r="FR11" s="37"/>
      <c r="FS11" s="37"/>
      <c r="FT11" s="37"/>
      <c r="FU11" s="37"/>
      <c r="FV11" s="37"/>
      <c r="FW11" s="37"/>
      <c r="FX11" s="37"/>
      <c r="FY11" s="37"/>
      <c r="FZ11" s="37"/>
      <c r="GA11" s="37"/>
      <c r="GB11" s="37"/>
      <c r="GC11" s="37"/>
      <c r="GD11" s="37"/>
      <c r="GE11" s="37"/>
      <c r="GF11" s="37"/>
      <c r="GG11" s="37"/>
      <c r="GH11" s="37"/>
      <c r="GI11" s="37"/>
      <c r="GJ11" s="37"/>
      <c r="GK11" s="37"/>
      <c r="GL11" s="37"/>
      <c r="GM11" s="37"/>
      <c r="GN11" s="37"/>
      <c r="GO11" s="37"/>
      <c r="GP11" s="37"/>
      <c r="GQ11" s="37"/>
      <c r="GR11" s="37"/>
      <c r="GS11" s="37"/>
      <c r="GT11" s="37"/>
      <c r="GU11" s="37"/>
      <c r="GV11" s="37"/>
      <c r="GW11" s="37"/>
      <c r="GX11" s="37"/>
      <c r="GY11" s="37"/>
      <c r="GZ11" s="37"/>
      <c r="HA11" s="37"/>
      <c r="HB11" s="37"/>
      <c r="HC11" s="37"/>
      <c r="HD11" s="37"/>
      <c r="HE11" s="37"/>
      <c r="HF11" s="37"/>
      <c r="HG11" s="37"/>
      <c r="HH11" s="37"/>
      <c r="HI11" s="37"/>
      <c r="HJ11" s="37"/>
      <c r="HK11" s="37"/>
      <c r="HL11" s="37"/>
      <c r="HM11" s="37"/>
      <c r="HN11" s="37"/>
      <c r="HO11" s="37"/>
      <c r="HP11" s="37"/>
      <c r="HQ11" s="37"/>
      <c r="HR11" s="37"/>
      <c r="HS11" s="37"/>
      <c r="HT11" s="37"/>
      <c r="HU11" s="37"/>
      <c r="HV11" s="37"/>
      <c r="HW11" s="37"/>
      <c r="HX11" s="37"/>
      <c r="HY11" s="37"/>
      <c r="HZ11" s="37"/>
      <c r="IA11" s="37"/>
      <c r="IB11" s="37"/>
      <c r="IC11" s="37"/>
      <c r="ID11" s="37"/>
      <c r="IE11" s="37"/>
      <c r="IF11" s="37"/>
      <c r="IG11" s="37"/>
      <c r="IH11" s="37"/>
      <c r="II11" s="37"/>
      <c r="IJ11" s="37"/>
      <c r="IK11" s="37"/>
      <c r="IL11" s="37"/>
      <c r="IM11" s="37"/>
      <c r="IN11" s="37"/>
      <c r="IO11" s="37"/>
      <c r="IP11" s="37"/>
      <c r="IQ11" s="37"/>
      <c r="IR11" s="37"/>
      <c r="IS11" s="37"/>
      <c r="IT11" s="37"/>
    </row>
    <row r="12" spans="1:254" ht="59.25" customHeight="1" x14ac:dyDescent="0.3">
      <c r="A12" s="91" t="s">
        <v>201</v>
      </c>
      <c r="B12" s="44" t="s">
        <v>115</v>
      </c>
      <c r="C12" s="44" t="s">
        <v>116</v>
      </c>
      <c r="D12" s="44" t="s">
        <v>49</v>
      </c>
      <c r="E12" s="44" t="s">
        <v>50</v>
      </c>
      <c r="F12" s="46">
        <f>'В-25'!G496</f>
        <v>2351.4</v>
      </c>
      <c r="G12" s="37"/>
      <c r="H12" s="37"/>
      <c r="I12" s="37"/>
      <c r="J12" s="37"/>
      <c r="K12" s="4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  <c r="CY12" s="37"/>
      <c r="CZ12" s="37"/>
      <c r="DA12" s="37"/>
      <c r="DB12" s="37"/>
      <c r="DC12" s="37"/>
      <c r="DD12" s="37"/>
      <c r="DE12" s="37"/>
      <c r="DF12" s="37"/>
      <c r="DG12" s="37"/>
      <c r="DH12" s="37"/>
      <c r="DI12" s="37"/>
      <c r="DJ12" s="37"/>
      <c r="DK12" s="37"/>
      <c r="DL12" s="37"/>
      <c r="DM12" s="37"/>
      <c r="DN12" s="37"/>
      <c r="DO12" s="37"/>
      <c r="DP12" s="37"/>
      <c r="DQ12" s="37"/>
      <c r="DR12" s="37"/>
      <c r="DS12" s="37"/>
      <c r="DT12" s="37"/>
      <c r="DU12" s="37"/>
      <c r="DV12" s="37"/>
      <c r="DW12" s="37"/>
      <c r="DX12" s="37"/>
      <c r="DY12" s="37"/>
      <c r="DZ12" s="37"/>
      <c r="EA12" s="37"/>
      <c r="EB12" s="37"/>
      <c r="EC12" s="37"/>
      <c r="ED12" s="37"/>
      <c r="EE12" s="37"/>
      <c r="EF12" s="37"/>
      <c r="EG12" s="37"/>
      <c r="EH12" s="37"/>
      <c r="EI12" s="37"/>
      <c r="EJ12" s="37"/>
      <c r="EK12" s="37"/>
      <c r="EL12" s="37"/>
      <c r="EM12" s="37"/>
      <c r="EN12" s="37"/>
      <c r="EO12" s="37"/>
      <c r="EP12" s="37"/>
      <c r="EQ12" s="37"/>
      <c r="ER12" s="37"/>
      <c r="ES12" s="37"/>
      <c r="ET12" s="37"/>
      <c r="EU12" s="37"/>
      <c r="EV12" s="37"/>
      <c r="EW12" s="37"/>
      <c r="EX12" s="37"/>
      <c r="EY12" s="37"/>
      <c r="EZ12" s="37"/>
      <c r="FA12" s="37"/>
      <c r="FB12" s="37"/>
      <c r="FC12" s="37"/>
      <c r="FD12" s="37"/>
      <c r="FE12" s="37"/>
      <c r="FF12" s="37"/>
      <c r="FG12" s="37"/>
      <c r="FH12" s="37"/>
      <c r="FI12" s="37"/>
      <c r="FJ12" s="37"/>
      <c r="FK12" s="37"/>
      <c r="FL12" s="37"/>
      <c r="FM12" s="37"/>
      <c r="FN12" s="37"/>
      <c r="FO12" s="37"/>
      <c r="FP12" s="37"/>
      <c r="FQ12" s="37"/>
      <c r="FR12" s="37"/>
      <c r="FS12" s="37"/>
      <c r="FT12" s="37"/>
      <c r="FU12" s="37"/>
      <c r="FV12" s="37"/>
      <c r="FW12" s="37"/>
      <c r="FX12" s="37"/>
      <c r="FY12" s="37"/>
      <c r="FZ12" s="37"/>
      <c r="GA12" s="37"/>
      <c r="GB12" s="37"/>
      <c r="GC12" s="37"/>
      <c r="GD12" s="37"/>
      <c r="GE12" s="37"/>
      <c r="GF12" s="37"/>
      <c r="GG12" s="37"/>
      <c r="GH12" s="37"/>
      <c r="GI12" s="37"/>
      <c r="GJ12" s="37"/>
      <c r="GK12" s="37"/>
      <c r="GL12" s="37"/>
      <c r="GM12" s="37"/>
      <c r="GN12" s="37"/>
      <c r="GO12" s="37"/>
      <c r="GP12" s="37"/>
      <c r="GQ12" s="37"/>
      <c r="GR12" s="37"/>
      <c r="GS12" s="37"/>
      <c r="GT12" s="37"/>
      <c r="GU12" s="37"/>
      <c r="GV12" s="37"/>
      <c r="GW12" s="37"/>
      <c r="GX12" s="37"/>
      <c r="GY12" s="37"/>
      <c r="GZ12" s="37"/>
      <c r="HA12" s="37"/>
      <c r="HB12" s="37"/>
      <c r="HC12" s="37"/>
      <c r="HD12" s="37"/>
      <c r="HE12" s="37"/>
      <c r="HF12" s="37"/>
      <c r="HG12" s="37"/>
      <c r="HH12" s="37"/>
      <c r="HI12" s="37"/>
      <c r="HJ12" s="37"/>
      <c r="HK12" s="37"/>
      <c r="HL12" s="37"/>
      <c r="HM12" s="37"/>
      <c r="HN12" s="37"/>
      <c r="HO12" s="37"/>
      <c r="HP12" s="37"/>
      <c r="HQ12" s="37"/>
      <c r="HR12" s="37"/>
      <c r="HS12" s="37"/>
      <c r="HT12" s="37"/>
      <c r="HU12" s="37"/>
      <c r="HV12" s="37"/>
      <c r="HW12" s="37"/>
      <c r="HX12" s="37"/>
      <c r="HY12" s="37"/>
      <c r="HZ12" s="37"/>
      <c r="IA12" s="37"/>
      <c r="IB12" s="37"/>
      <c r="IC12" s="37"/>
      <c r="ID12" s="37"/>
      <c r="IE12" s="37"/>
      <c r="IF12" s="37"/>
      <c r="IG12" s="37"/>
      <c r="IH12" s="37"/>
      <c r="II12" s="37"/>
      <c r="IJ12" s="37"/>
      <c r="IK12" s="37"/>
      <c r="IL12" s="37"/>
      <c r="IM12" s="37"/>
      <c r="IN12" s="37"/>
      <c r="IO12" s="37"/>
      <c r="IP12" s="37"/>
      <c r="IQ12" s="37"/>
      <c r="IR12" s="37"/>
      <c r="IS12" s="37"/>
      <c r="IT12" s="37"/>
    </row>
    <row r="13" spans="1:254" ht="73.5" hidden="1" customHeight="1" outlineLevel="1" x14ac:dyDescent="0.3">
      <c r="A13" s="91" t="s">
        <v>341</v>
      </c>
      <c r="B13" s="44" t="s">
        <v>115</v>
      </c>
      <c r="C13" s="44" t="s">
        <v>117</v>
      </c>
      <c r="D13" s="44" t="s">
        <v>49</v>
      </c>
      <c r="E13" s="44" t="s">
        <v>50</v>
      </c>
      <c r="F13" s="45">
        <v>0</v>
      </c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7"/>
      <c r="EA13" s="37"/>
      <c r="EB13" s="37"/>
      <c r="EC13" s="37"/>
      <c r="ED13" s="37"/>
      <c r="EE13" s="37"/>
      <c r="EF13" s="37"/>
      <c r="EG13" s="37"/>
      <c r="EH13" s="37"/>
      <c r="EI13" s="37"/>
      <c r="EJ13" s="37"/>
      <c r="EK13" s="37"/>
      <c r="EL13" s="37"/>
      <c r="EM13" s="37"/>
      <c r="EN13" s="37"/>
      <c r="EO13" s="37"/>
      <c r="EP13" s="37"/>
      <c r="EQ13" s="37"/>
      <c r="ER13" s="37"/>
      <c r="ES13" s="37"/>
      <c r="ET13" s="37"/>
      <c r="EU13" s="37"/>
      <c r="EV13" s="37"/>
      <c r="EW13" s="37"/>
      <c r="EX13" s="37"/>
      <c r="EY13" s="37"/>
      <c r="EZ13" s="37"/>
      <c r="FA13" s="37"/>
      <c r="FB13" s="37"/>
      <c r="FC13" s="37"/>
      <c r="FD13" s="37"/>
      <c r="FE13" s="37"/>
      <c r="FF13" s="37"/>
      <c r="FG13" s="37"/>
      <c r="FH13" s="37"/>
      <c r="FI13" s="37"/>
      <c r="FJ13" s="37"/>
      <c r="FK13" s="37"/>
      <c r="FL13" s="37"/>
      <c r="FM13" s="37"/>
      <c r="FN13" s="37"/>
      <c r="FO13" s="37"/>
      <c r="FP13" s="37"/>
      <c r="FQ13" s="37"/>
      <c r="FR13" s="37"/>
      <c r="FS13" s="37"/>
      <c r="FT13" s="37"/>
      <c r="FU13" s="37"/>
      <c r="FV13" s="37"/>
      <c r="FW13" s="37"/>
      <c r="FX13" s="37"/>
      <c r="FY13" s="37"/>
      <c r="FZ13" s="37"/>
      <c r="GA13" s="37"/>
      <c r="GB13" s="37"/>
      <c r="GC13" s="37"/>
      <c r="GD13" s="37"/>
      <c r="GE13" s="37"/>
      <c r="GF13" s="37"/>
      <c r="GG13" s="37"/>
      <c r="GH13" s="37"/>
      <c r="GI13" s="37"/>
      <c r="GJ13" s="37"/>
      <c r="GK13" s="37"/>
      <c r="GL13" s="37"/>
      <c r="GM13" s="37"/>
      <c r="GN13" s="37"/>
      <c r="GO13" s="37"/>
      <c r="GP13" s="37"/>
      <c r="GQ13" s="37"/>
      <c r="GR13" s="37"/>
      <c r="GS13" s="37"/>
      <c r="GT13" s="37"/>
      <c r="GU13" s="37"/>
      <c r="GV13" s="37"/>
      <c r="GW13" s="37"/>
      <c r="GX13" s="37"/>
      <c r="GY13" s="37"/>
      <c r="GZ13" s="37"/>
      <c r="HA13" s="37"/>
      <c r="HB13" s="37"/>
      <c r="HC13" s="37"/>
      <c r="HD13" s="37"/>
      <c r="HE13" s="37"/>
      <c r="HF13" s="37"/>
      <c r="HG13" s="37"/>
      <c r="HH13" s="37"/>
      <c r="HI13" s="37"/>
      <c r="HJ13" s="37"/>
      <c r="HK13" s="37"/>
      <c r="HL13" s="37"/>
      <c r="HM13" s="37"/>
      <c r="HN13" s="37"/>
      <c r="HO13" s="37"/>
      <c r="HP13" s="37"/>
      <c r="HQ13" s="37"/>
      <c r="HR13" s="37"/>
      <c r="HS13" s="37"/>
      <c r="HT13" s="37"/>
      <c r="HU13" s="37"/>
      <c r="HV13" s="37"/>
      <c r="HW13" s="37"/>
      <c r="HX13" s="37"/>
      <c r="HY13" s="37"/>
      <c r="HZ13" s="37"/>
      <c r="IA13" s="37"/>
      <c r="IB13" s="37"/>
      <c r="IC13" s="37"/>
      <c r="ID13" s="37"/>
      <c r="IE13" s="37"/>
      <c r="IF13" s="37"/>
      <c r="IG13" s="37"/>
      <c r="IH13" s="37"/>
      <c r="II13" s="37"/>
      <c r="IJ13" s="37"/>
      <c r="IK13" s="37"/>
      <c r="IL13" s="37"/>
      <c r="IM13" s="37"/>
      <c r="IN13" s="37"/>
      <c r="IO13" s="37"/>
      <c r="IP13" s="37"/>
      <c r="IQ13" s="37"/>
      <c r="IR13" s="37"/>
      <c r="IS13" s="37"/>
      <c r="IT13" s="37"/>
    </row>
    <row r="14" spans="1:254" ht="82.5" customHeight="1" collapsed="1" x14ac:dyDescent="0.3">
      <c r="A14" s="91" t="s">
        <v>120</v>
      </c>
      <c r="B14" s="44" t="s">
        <v>115</v>
      </c>
      <c r="C14" s="44" t="s">
        <v>121</v>
      </c>
      <c r="D14" s="44" t="s">
        <v>49</v>
      </c>
      <c r="E14" s="44" t="s">
        <v>50</v>
      </c>
      <c r="F14" s="45">
        <f>'В-25'!G21+'В-25'!G387+'В-25'!G506</f>
        <v>59649.200000000004</v>
      </c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7"/>
      <c r="DB14" s="37"/>
      <c r="DC14" s="37"/>
      <c r="DD14" s="37"/>
      <c r="DE14" s="37"/>
      <c r="DF14" s="37"/>
      <c r="DG14" s="37"/>
      <c r="DH14" s="37"/>
      <c r="DI14" s="37"/>
      <c r="DJ14" s="37"/>
      <c r="DK14" s="37"/>
      <c r="DL14" s="37"/>
      <c r="DM14" s="37"/>
      <c r="DN14" s="37"/>
      <c r="DO14" s="37"/>
      <c r="DP14" s="37"/>
      <c r="DQ14" s="37"/>
      <c r="DR14" s="37"/>
      <c r="DS14" s="37"/>
      <c r="DT14" s="37"/>
      <c r="DU14" s="37"/>
      <c r="DV14" s="37"/>
      <c r="DW14" s="37"/>
      <c r="DX14" s="37"/>
      <c r="DY14" s="37"/>
      <c r="DZ14" s="37"/>
      <c r="EA14" s="37"/>
      <c r="EB14" s="37"/>
      <c r="EC14" s="37"/>
      <c r="ED14" s="37"/>
      <c r="EE14" s="37"/>
      <c r="EF14" s="37"/>
      <c r="EG14" s="37"/>
      <c r="EH14" s="37"/>
      <c r="EI14" s="37"/>
      <c r="EJ14" s="37"/>
      <c r="EK14" s="37"/>
      <c r="EL14" s="37"/>
      <c r="EM14" s="37"/>
      <c r="EN14" s="37"/>
      <c r="EO14" s="37"/>
      <c r="EP14" s="37"/>
      <c r="EQ14" s="37"/>
      <c r="ER14" s="37"/>
      <c r="ES14" s="37"/>
      <c r="ET14" s="37"/>
      <c r="EU14" s="37"/>
      <c r="EV14" s="37"/>
      <c r="EW14" s="37"/>
      <c r="EX14" s="37"/>
      <c r="EY14" s="37"/>
      <c r="EZ14" s="37"/>
      <c r="FA14" s="37"/>
      <c r="FB14" s="37"/>
      <c r="FC14" s="37"/>
      <c r="FD14" s="37"/>
      <c r="FE14" s="37"/>
      <c r="FF14" s="37"/>
      <c r="FG14" s="37"/>
      <c r="FH14" s="37"/>
      <c r="FI14" s="37"/>
      <c r="FJ14" s="37"/>
      <c r="FK14" s="37"/>
      <c r="FL14" s="37"/>
      <c r="FM14" s="37"/>
      <c r="FN14" s="37"/>
      <c r="FO14" s="37"/>
      <c r="FP14" s="37"/>
      <c r="FQ14" s="37"/>
      <c r="FR14" s="37"/>
      <c r="FS14" s="37"/>
      <c r="FT14" s="37"/>
      <c r="FU14" s="37"/>
      <c r="FV14" s="37"/>
      <c r="FW14" s="37"/>
      <c r="FX14" s="37"/>
      <c r="FY14" s="37"/>
      <c r="FZ14" s="37"/>
      <c r="GA14" s="37"/>
      <c r="GB14" s="37"/>
      <c r="GC14" s="37"/>
      <c r="GD14" s="37"/>
      <c r="GE14" s="37"/>
      <c r="GF14" s="37"/>
      <c r="GG14" s="37"/>
      <c r="GH14" s="37"/>
      <c r="GI14" s="37"/>
      <c r="GJ14" s="37"/>
      <c r="GK14" s="37"/>
      <c r="GL14" s="37"/>
      <c r="GM14" s="37"/>
      <c r="GN14" s="37"/>
      <c r="GO14" s="37"/>
      <c r="GP14" s="37"/>
      <c r="GQ14" s="37"/>
      <c r="GR14" s="37"/>
      <c r="GS14" s="37"/>
      <c r="GT14" s="37"/>
      <c r="GU14" s="37"/>
      <c r="GV14" s="37"/>
      <c r="GW14" s="37"/>
      <c r="GX14" s="37"/>
      <c r="GY14" s="37"/>
      <c r="GZ14" s="37"/>
      <c r="HA14" s="37"/>
      <c r="HB14" s="37"/>
      <c r="HC14" s="37"/>
      <c r="HD14" s="37"/>
      <c r="HE14" s="37"/>
      <c r="HF14" s="37"/>
      <c r="HG14" s="37"/>
      <c r="HH14" s="37"/>
      <c r="HI14" s="37"/>
      <c r="HJ14" s="37"/>
      <c r="HK14" s="37"/>
      <c r="HL14" s="37"/>
      <c r="HM14" s="37"/>
      <c r="HN14" s="37"/>
      <c r="HO14" s="37"/>
      <c r="HP14" s="37"/>
      <c r="HQ14" s="37"/>
      <c r="HR14" s="37"/>
      <c r="HS14" s="37"/>
      <c r="HT14" s="37"/>
      <c r="HU14" s="37"/>
      <c r="HV14" s="37"/>
      <c r="HW14" s="37"/>
      <c r="HX14" s="37"/>
      <c r="HY14" s="37"/>
      <c r="HZ14" s="37"/>
      <c r="IA14" s="37"/>
      <c r="IB14" s="37"/>
      <c r="IC14" s="37"/>
      <c r="ID14" s="37"/>
      <c r="IE14" s="37"/>
      <c r="IF14" s="37"/>
      <c r="IG14" s="37"/>
      <c r="IH14" s="37"/>
      <c r="II14" s="37"/>
      <c r="IJ14" s="37"/>
      <c r="IK14" s="37"/>
      <c r="IL14" s="37"/>
      <c r="IM14" s="37"/>
      <c r="IN14" s="37"/>
      <c r="IO14" s="37"/>
      <c r="IP14" s="37"/>
      <c r="IQ14" s="37"/>
      <c r="IR14" s="37"/>
      <c r="IS14" s="37"/>
      <c r="IT14" s="37"/>
    </row>
    <row r="15" spans="1:254" ht="18.75" hidden="1" customHeight="1" x14ac:dyDescent="0.3">
      <c r="A15" s="91" t="s">
        <v>208</v>
      </c>
      <c r="B15" s="44" t="s">
        <v>115</v>
      </c>
      <c r="C15" s="44" t="s">
        <v>209</v>
      </c>
      <c r="D15" s="44" t="s">
        <v>49</v>
      </c>
      <c r="E15" s="44" t="s">
        <v>50</v>
      </c>
      <c r="F15" s="45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7"/>
      <c r="DB15" s="37"/>
      <c r="DC15" s="37"/>
      <c r="DD15" s="37"/>
      <c r="DE15" s="37"/>
      <c r="DF15" s="37"/>
      <c r="DG15" s="37"/>
      <c r="DH15" s="37"/>
      <c r="DI15" s="37"/>
      <c r="DJ15" s="37"/>
      <c r="DK15" s="37"/>
      <c r="DL15" s="37"/>
      <c r="DM15" s="37"/>
      <c r="DN15" s="37"/>
      <c r="DO15" s="37"/>
      <c r="DP15" s="37"/>
      <c r="DQ15" s="37"/>
      <c r="DR15" s="37"/>
      <c r="DS15" s="37"/>
      <c r="DT15" s="37"/>
      <c r="DU15" s="37"/>
      <c r="DV15" s="37"/>
      <c r="DW15" s="37"/>
      <c r="DX15" s="37"/>
      <c r="DY15" s="37"/>
      <c r="DZ15" s="37"/>
      <c r="EA15" s="37"/>
      <c r="EB15" s="37"/>
      <c r="EC15" s="37"/>
      <c r="ED15" s="37"/>
      <c r="EE15" s="37"/>
      <c r="EF15" s="37"/>
      <c r="EG15" s="37"/>
      <c r="EH15" s="37"/>
      <c r="EI15" s="37"/>
      <c r="EJ15" s="37"/>
      <c r="EK15" s="37"/>
      <c r="EL15" s="37"/>
      <c r="EM15" s="37"/>
      <c r="EN15" s="37"/>
      <c r="EO15" s="37"/>
      <c r="EP15" s="37"/>
      <c r="EQ15" s="37"/>
      <c r="ER15" s="37"/>
      <c r="ES15" s="37"/>
      <c r="ET15" s="37"/>
      <c r="EU15" s="37"/>
      <c r="EV15" s="37"/>
      <c r="EW15" s="37"/>
      <c r="EX15" s="37"/>
      <c r="EY15" s="37"/>
      <c r="EZ15" s="37"/>
      <c r="FA15" s="37"/>
      <c r="FB15" s="37"/>
      <c r="FC15" s="37"/>
      <c r="FD15" s="37"/>
      <c r="FE15" s="37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</row>
    <row r="16" spans="1:254" ht="21.75" customHeight="1" x14ac:dyDescent="0.3">
      <c r="A16" s="91" t="s">
        <v>208</v>
      </c>
      <c r="B16" s="44" t="s">
        <v>115</v>
      </c>
      <c r="C16" s="44" t="s">
        <v>209</v>
      </c>
      <c r="D16" s="44" t="s">
        <v>49</v>
      </c>
      <c r="E16" s="44" t="s">
        <v>50</v>
      </c>
      <c r="F16" s="45">
        <f>'В-25'!G537</f>
        <v>24</v>
      </c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7"/>
      <c r="BZ16" s="37"/>
      <c r="CA16" s="37"/>
      <c r="CB16" s="37"/>
      <c r="CC16" s="37"/>
      <c r="CD16" s="37"/>
      <c r="CE16" s="37"/>
      <c r="CF16" s="37"/>
      <c r="CG16" s="37"/>
      <c r="CH16" s="37"/>
      <c r="CI16" s="37"/>
      <c r="CJ16" s="37"/>
      <c r="CK16" s="37"/>
      <c r="CL16" s="37"/>
      <c r="CM16" s="37"/>
      <c r="CN16" s="37"/>
      <c r="CO16" s="37"/>
      <c r="CP16" s="37"/>
      <c r="CQ16" s="37"/>
      <c r="CR16" s="37"/>
      <c r="CS16" s="37"/>
      <c r="CT16" s="37"/>
      <c r="CU16" s="37"/>
      <c r="CV16" s="37"/>
      <c r="CW16" s="37"/>
      <c r="CX16" s="37"/>
      <c r="CY16" s="37"/>
      <c r="CZ16" s="37"/>
      <c r="DA16" s="37"/>
      <c r="DB16" s="37"/>
      <c r="DC16" s="37"/>
      <c r="DD16" s="37"/>
      <c r="DE16" s="37"/>
      <c r="DF16" s="37"/>
      <c r="DG16" s="37"/>
      <c r="DH16" s="37"/>
      <c r="DI16" s="37"/>
      <c r="DJ16" s="37"/>
      <c r="DK16" s="37"/>
      <c r="DL16" s="37"/>
      <c r="DM16" s="37"/>
      <c r="DN16" s="37"/>
      <c r="DO16" s="37"/>
      <c r="DP16" s="37"/>
      <c r="DQ16" s="37"/>
      <c r="DR16" s="37"/>
      <c r="DS16" s="37"/>
      <c r="DT16" s="37"/>
      <c r="DU16" s="37"/>
      <c r="DV16" s="37"/>
      <c r="DW16" s="37"/>
      <c r="DX16" s="37"/>
      <c r="DY16" s="37"/>
      <c r="DZ16" s="37"/>
      <c r="EA16" s="37"/>
      <c r="EB16" s="37"/>
      <c r="EC16" s="37"/>
      <c r="ED16" s="37"/>
      <c r="EE16" s="37"/>
      <c r="EF16" s="37"/>
      <c r="EG16" s="37"/>
      <c r="EH16" s="37"/>
      <c r="EI16" s="37"/>
      <c r="EJ16" s="37"/>
      <c r="EK16" s="37"/>
      <c r="EL16" s="37"/>
      <c r="EM16" s="37"/>
      <c r="EN16" s="37"/>
      <c r="EO16" s="37"/>
      <c r="EP16" s="37"/>
      <c r="EQ16" s="37"/>
      <c r="ER16" s="37"/>
      <c r="ES16" s="37"/>
      <c r="ET16" s="37"/>
      <c r="EU16" s="37"/>
      <c r="EV16" s="37"/>
      <c r="EW16" s="37"/>
      <c r="EX16" s="37"/>
      <c r="EY16" s="37"/>
      <c r="EZ16" s="37"/>
      <c r="FA16" s="37"/>
      <c r="FB16" s="37"/>
      <c r="FC16" s="37"/>
      <c r="FD16" s="37"/>
      <c r="FE16" s="37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</row>
    <row r="17" spans="1:254" ht="82.5" customHeight="1" x14ac:dyDescent="0.3">
      <c r="A17" s="48" t="s">
        <v>118</v>
      </c>
      <c r="B17" s="44" t="s">
        <v>115</v>
      </c>
      <c r="C17" s="44" t="s">
        <v>119</v>
      </c>
      <c r="D17" s="44" t="s">
        <v>49</v>
      </c>
      <c r="E17" s="92" t="s">
        <v>50</v>
      </c>
      <c r="F17" s="45">
        <f>'В-25'!G1582</f>
        <v>1364.1</v>
      </c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7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7"/>
      <c r="DB17" s="37"/>
      <c r="DC17" s="37"/>
      <c r="DD17" s="37"/>
      <c r="DE17" s="37"/>
      <c r="DF17" s="37"/>
      <c r="DG17" s="37"/>
      <c r="DH17" s="37"/>
      <c r="DI17" s="37"/>
      <c r="DJ17" s="37"/>
      <c r="DK17" s="37"/>
      <c r="DL17" s="37"/>
      <c r="DM17" s="37"/>
      <c r="DN17" s="37"/>
      <c r="DO17" s="37"/>
      <c r="DP17" s="37"/>
      <c r="DQ17" s="37"/>
      <c r="DR17" s="37"/>
      <c r="DS17" s="37"/>
      <c r="DT17" s="37"/>
      <c r="DU17" s="37"/>
      <c r="DV17" s="37"/>
      <c r="DW17" s="37"/>
      <c r="DX17" s="37"/>
      <c r="DY17" s="37"/>
      <c r="DZ17" s="37"/>
      <c r="EA17" s="37"/>
      <c r="EB17" s="37"/>
      <c r="EC17" s="37"/>
      <c r="ED17" s="37"/>
      <c r="EE17" s="37"/>
      <c r="EF17" s="37"/>
      <c r="EG17" s="37"/>
      <c r="EH17" s="37"/>
      <c r="EI17" s="37"/>
      <c r="EJ17" s="37"/>
      <c r="EK17" s="37"/>
      <c r="EL17" s="37"/>
      <c r="EM17" s="37"/>
      <c r="EN17" s="37"/>
      <c r="EO17" s="37"/>
      <c r="EP17" s="37"/>
      <c r="EQ17" s="37"/>
      <c r="ER17" s="37"/>
      <c r="ES17" s="37"/>
      <c r="ET17" s="37"/>
      <c r="EU17" s="37"/>
      <c r="EV17" s="37"/>
      <c r="EW17" s="37"/>
      <c r="EX17" s="37"/>
      <c r="EY17" s="37"/>
      <c r="EZ17" s="37"/>
      <c r="FA17" s="37"/>
      <c r="FB17" s="37"/>
      <c r="FC17" s="37"/>
      <c r="FD17" s="37"/>
      <c r="FE17" s="37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</row>
    <row r="18" spans="1:254" ht="36.75" hidden="1" customHeight="1" x14ac:dyDescent="0.3">
      <c r="A18" s="48" t="s">
        <v>342</v>
      </c>
      <c r="B18" s="44" t="s">
        <v>115</v>
      </c>
      <c r="C18" s="44" t="s">
        <v>123</v>
      </c>
      <c r="D18" s="44" t="s">
        <v>49</v>
      </c>
      <c r="E18" s="92" t="s">
        <v>50</v>
      </c>
      <c r="F18" s="45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7"/>
      <c r="EA18" s="37"/>
      <c r="EB18" s="37"/>
      <c r="EC18" s="37"/>
      <c r="ED18" s="37"/>
      <c r="EE18" s="37"/>
      <c r="EF18" s="37"/>
      <c r="EG18" s="37"/>
      <c r="EH18" s="37"/>
      <c r="EI18" s="37"/>
      <c r="EJ18" s="37"/>
      <c r="EK18" s="37"/>
      <c r="EL18" s="37"/>
      <c r="EM18" s="37"/>
      <c r="EN18" s="37"/>
      <c r="EO18" s="37"/>
      <c r="EP18" s="37"/>
      <c r="EQ18" s="37"/>
      <c r="ER18" s="37"/>
      <c r="ES18" s="37"/>
      <c r="ET18" s="37"/>
      <c r="EU18" s="37"/>
      <c r="EV18" s="37"/>
      <c r="EW18" s="37"/>
      <c r="EX18" s="37"/>
      <c r="EY18" s="37"/>
      <c r="EZ18" s="37"/>
      <c r="FA18" s="37"/>
      <c r="FB18" s="37"/>
      <c r="FC18" s="37"/>
      <c r="FD18" s="37"/>
      <c r="FE18" s="37"/>
      <c r="FF18" s="37"/>
      <c r="FG18" s="37"/>
      <c r="FH18" s="37"/>
      <c r="FI18" s="37"/>
      <c r="FJ18" s="37"/>
      <c r="FK18" s="37"/>
      <c r="FL18" s="37"/>
      <c r="FM18" s="37"/>
      <c r="FN18" s="37"/>
      <c r="FO18" s="37"/>
      <c r="FP18" s="37"/>
      <c r="FQ18" s="37"/>
      <c r="FR18" s="37"/>
      <c r="FS18" s="37"/>
      <c r="FT18" s="37"/>
      <c r="FU18" s="37"/>
      <c r="FV18" s="37"/>
      <c r="FW18" s="37"/>
      <c r="FX18" s="37"/>
      <c r="FY18" s="37"/>
      <c r="FZ18" s="37"/>
      <c r="GA18" s="37"/>
      <c r="GB18" s="37"/>
      <c r="GC18" s="37"/>
      <c r="GD18" s="37"/>
      <c r="GE18" s="37"/>
      <c r="GF18" s="37"/>
      <c r="GG18" s="37"/>
      <c r="GH18" s="37"/>
      <c r="GI18" s="37"/>
      <c r="GJ18" s="37"/>
      <c r="GK18" s="37"/>
      <c r="GL18" s="37"/>
      <c r="GM18" s="37"/>
      <c r="GN18" s="37"/>
      <c r="GO18" s="37"/>
      <c r="GP18" s="37"/>
      <c r="GQ18" s="37"/>
      <c r="GR18" s="37"/>
      <c r="GS18" s="37"/>
      <c r="GT18" s="37"/>
      <c r="GU18" s="37"/>
      <c r="GV18" s="37"/>
      <c r="GW18" s="37"/>
      <c r="GX18" s="37"/>
      <c r="GY18" s="37"/>
      <c r="GZ18" s="37"/>
      <c r="HA18" s="37"/>
      <c r="HB18" s="37"/>
      <c r="HC18" s="37"/>
      <c r="HD18" s="37"/>
      <c r="HE18" s="37"/>
      <c r="HF18" s="37"/>
      <c r="HG18" s="37"/>
      <c r="HH18" s="37"/>
      <c r="HI18" s="37"/>
      <c r="HJ18" s="37"/>
      <c r="HK18" s="37"/>
      <c r="HL18" s="37"/>
      <c r="HM18" s="37"/>
      <c r="HN18" s="37"/>
      <c r="HO18" s="37"/>
      <c r="HP18" s="37"/>
      <c r="HQ18" s="37"/>
      <c r="HR18" s="37"/>
      <c r="HS18" s="37"/>
      <c r="HT18" s="37"/>
      <c r="HU18" s="37"/>
      <c r="HV18" s="37"/>
      <c r="HW18" s="37"/>
      <c r="HX18" s="37"/>
      <c r="HY18" s="37"/>
      <c r="HZ18" s="37"/>
      <c r="IA18" s="37"/>
      <c r="IB18" s="37"/>
      <c r="IC18" s="37"/>
      <c r="ID18" s="37"/>
      <c r="IE18" s="37"/>
      <c r="IF18" s="37"/>
      <c r="IG18" s="37"/>
      <c r="IH18" s="37"/>
      <c r="II18" s="37"/>
      <c r="IJ18" s="37"/>
      <c r="IK18" s="37"/>
      <c r="IL18" s="37"/>
      <c r="IM18" s="37"/>
      <c r="IN18" s="37"/>
      <c r="IO18" s="37"/>
      <c r="IP18" s="37"/>
      <c r="IQ18" s="37"/>
      <c r="IR18" s="37"/>
      <c r="IS18" s="37"/>
      <c r="IT18" s="37"/>
    </row>
    <row r="19" spans="1:254" ht="42" hidden="1" customHeight="1" x14ac:dyDescent="0.3">
      <c r="A19" s="48" t="s">
        <v>342</v>
      </c>
      <c r="B19" s="44" t="s">
        <v>115</v>
      </c>
      <c r="C19" s="44" t="s">
        <v>123</v>
      </c>
      <c r="D19" s="44" t="s">
        <v>49</v>
      </c>
      <c r="E19" s="92" t="s">
        <v>50</v>
      </c>
      <c r="F19" s="45">
        <f>'В-25'!G542</f>
        <v>0</v>
      </c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  <c r="EA19" s="37"/>
      <c r="EB19" s="37"/>
      <c r="EC19" s="37"/>
      <c r="ED19" s="37"/>
      <c r="EE19" s="37"/>
      <c r="EF19" s="37"/>
      <c r="EG19" s="37"/>
      <c r="EH19" s="37"/>
      <c r="EI19" s="37"/>
      <c r="EJ19" s="37"/>
      <c r="EK19" s="37"/>
      <c r="EL19" s="37"/>
      <c r="EM19" s="37"/>
      <c r="EN19" s="37"/>
      <c r="EO19" s="37"/>
      <c r="EP19" s="37"/>
      <c r="EQ19" s="37"/>
      <c r="ER19" s="37"/>
      <c r="ES19" s="37"/>
      <c r="ET19" s="37"/>
      <c r="EU19" s="37"/>
      <c r="EV19" s="37"/>
      <c r="EW19" s="37"/>
      <c r="EX19" s="37"/>
      <c r="EY19" s="37"/>
      <c r="EZ19" s="37"/>
      <c r="FA19" s="37"/>
      <c r="FB19" s="37"/>
      <c r="FC19" s="37"/>
      <c r="FD19" s="37"/>
      <c r="FE19" s="37"/>
      <c r="FF19" s="37"/>
      <c r="FG19" s="37"/>
      <c r="FH19" s="37"/>
      <c r="FI19" s="37"/>
      <c r="FJ19" s="37"/>
      <c r="FK19" s="37"/>
      <c r="FL19" s="37"/>
      <c r="FM19" s="37"/>
      <c r="FN19" s="37"/>
      <c r="FO19" s="37"/>
      <c r="FP19" s="37"/>
      <c r="FQ19" s="37"/>
      <c r="FR19" s="37"/>
      <c r="FS19" s="37"/>
      <c r="FT19" s="37"/>
      <c r="FU19" s="37"/>
      <c r="FV19" s="37"/>
      <c r="FW19" s="37"/>
      <c r="FX19" s="37"/>
      <c r="FY19" s="37"/>
      <c r="FZ19" s="37"/>
      <c r="GA19" s="37"/>
      <c r="GB19" s="37"/>
      <c r="GC19" s="37"/>
      <c r="GD19" s="37"/>
      <c r="GE19" s="37"/>
      <c r="GF19" s="37"/>
      <c r="GG19" s="37"/>
      <c r="GH19" s="37"/>
      <c r="GI19" s="37"/>
      <c r="GJ19" s="37"/>
      <c r="GK19" s="37"/>
      <c r="GL19" s="37"/>
      <c r="GM19" s="37"/>
      <c r="GN19" s="37"/>
      <c r="GO19" s="37"/>
      <c r="GP19" s="37"/>
      <c r="GQ19" s="37"/>
      <c r="GR19" s="37"/>
      <c r="GS19" s="37"/>
      <c r="GT19" s="37"/>
      <c r="GU19" s="37"/>
      <c r="GV19" s="37"/>
      <c r="GW19" s="37"/>
      <c r="GX19" s="37"/>
      <c r="GY19" s="37"/>
      <c r="GZ19" s="37"/>
      <c r="HA19" s="37"/>
      <c r="HB19" s="37"/>
      <c r="HC19" s="37"/>
      <c r="HD19" s="37"/>
      <c r="HE19" s="37"/>
      <c r="HF19" s="37"/>
      <c r="HG19" s="37"/>
      <c r="HH19" s="37"/>
      <c r="HI19" s="37"/>
      <c r="HJ19" s="37"/>
      <c r="HK19" s="37"/>
      <c r="HL19" s="37"/>
      <c r="HM19" s="37"/>
      <c r="HN19" s="37"/>
      <c r="HO19" s="37"/>
      <c r="HP19" s="37"/>
      <c r="HQ19" s="37"/>
      <c r="HR19" s="37"/>
      <c r="HS19" s="37"/>
      <c r="HT19" s="37"/>
      <c r="HU19" s="37"/>
      <c r="HV19" s="37"/>
      <c r="HW19" s="37"/>
      <c r="HX19" s="37"/>
      <c r="HY19" s="37"/>
      <c r="HZ19" s="37"/>
      <c r="IA19" s="37"/>
      <c r="IB19" s="37"/>
      <c r="IC19" s="37"/>
      <c r="ID19" s="37"/>
      <c r="IE19" s="37"/>
      <c r="IF19" s="37"/>
      <c r="IG19" s="37"/>
      <c r="IH19" s="37"/>
      <c r="II19" s="37"/>
      <c r="IJ19" s="37"/>
      <c r="IK19" s="37"/>
      <c r="IL19" s="37"/>
      <c r="IM19" s="37"/>
      <c r="IN19" s="37"/>
      <c r="IO19" s="37"/>
      <c r="IP19" s="37"/>
      <c r="IQ19" s="37"/>
      <c r="IR19" s="37"/>
      <c r="IS19" s="37"/>
      <c r="IT19" s="37"/>
    </row>
    <row r="20" spans="1:254" ht="21" customHeight="1" x14ac:dyDescent="0.3">
      <c r="A20" s="48" t="s">
        <v>182</v>
      </c>
      <c r="B20" s="44" t="s">
        <v>115</v>
      </c>
      <c r="C20" s="92" t="s">
        <v>183</v>
      </c>
      <c r="D20" s="44" t="s">
        <v>49</v>
      </c>
      <c r="E20" s="44" t="s">
        <v>50</v>
      </c>
      <c r="F20" s="45">
        <f>'В-25'!G402</f>
        <v>100</v>
      </c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37"/>
      <c r="DW20" s="37"/>
      <c r="DX20" s="37"/>
      <c r="DY20" s="37"/>
      <c r="DZ20" s="37"/>
      <c r="EA20" s="37"/>
      <c r="EB20" s="37"/>
      <c r="EC20" s="37"/>
      <c r="ED20" s="37"/>
      <c r="EE20" s="37"/>
      <c r="EF20" s="37"/>
      <c r="EG20" s="37"/>
      <c r="EH20" s="37"/>
      <c r="EI20" s="37"/>
      <c r="EJ20" s="37"/>
      <c r="EK20" s="37"/>
      <c r="EL20" s="37"/>
      <c r="EM20" s="37"/>
      <c r="EN20" s="37"/>
      <c r="EO20" s="37"/>
      <c r="EP20" s="37"/>
      <c r="EQ20" s="37"/>
      <c r="ER20" s="37"/>
      <c r="ES20" s="37"/>
      <c r="ET20" s="37"/>
      <c r="EU20" s="37"/>
      <c r="EV20" s="37"/>
      <c r="EW20" s="37"/>
      <c r="EX20" s="37"/>
      <c r="EY20" s="37"/>
      <c r="EZ20" s="37"/>
      <c r="FA20" s="37"/>
      <c r="FB20" s="37"/>
      <c r="FC20" s="37"/>
      <c r="FD20" s="37"/>
      <c r="FE20" s="37"/>
      <c r="FF20" s="37"/>
      <c r="FG20" s="37"/>
      <c r="FH20" s="37"/>
      <c r="FI20" s="37"/>
      <c r="FJ20" s="37"/>
      <c r="FK20" s="37"/>
      <c r="FL20" s="37"/>
      <c r="FM20" s="37"/>
      <c r="FN20" s="37"/>
      <c r="FO20" s="37"/>
      <c r="FP20" s="37"/>
      <c r="FQ20" s="37"/>
      <c r="FR20" s="37"/>
      <c r="FS20" s="37"/>
      <c r="FT20" s="37"/>
      <c r="FU20" s="37"/>
      <c r="FV20" s="37"/>
      <c r="FW20" s="37"/>
      <c r="FX20" s="37"/>
      <c r="FY20" s="37"/>
      <c r="FZ20" s="37"/>
      <c r="GA20" s="37"/>
      <c r="GB20" s="37"/>
      <c r="GC20" s="37"/>
      <c r="GD20" s="37"/>
      <c r="GE20" s="37"/>
      <c r="GF20" s="37"/>
      <c r="GG20" s="37"/>
      <c r="GH20" s="37"/>
      <c r="GI20" s="37"/>
      <c r="GJ20" s="37"/>
      <c r="GK20" s="37"/>
      <c r="GL20" s="37"/>
      <c r="GM20" s="37"/>
      <c r="GN20" s="37"/>
      <c r="GO20" s="37"/>
      <c r="GP20" s="37"/>
      <c r="GQ20" s="37"/>
      <c r="GR20" s="37"/>
      <c r="GS20" s="37"/>
      <c r="GT20" s="37"/>
      <c r="GU20" s="37"/>
      <c r="GV20" s="37"/>
      <c r="GW20" s="37"/>
      <c r="GX20" s="37"/>
      <c r="GY20" s="37"/>
      <c r="GZ20" s="37"/>
      <c r="HA20" s="37"/>
      <c r="HB20" s="37"/>
      <c r="HC20" s="37"/>
      <c r="HD20" s="37"/>
      <c r="HE20" s="37"/>
      <c r="HF20" s="37"/>
      <c r="HG20" s="37"/>
      <c r="HH20" s="37"/>
      <c r="HI20" s="37"/>
      <c r="HJ20" s="37"/>
      <c r="HK20" s="37"/>
      <c r="HL20" s="37"/>
      <c r="HM20" s="37"/>
      <c r="HN20" s="37"/>
      <c r="HO20" s="37"/>
      <c r="HP20" s="37"/>
      <c r="HQ20" s="37"/>
      <c r="HR20" s="37"/>
      <c r="HS20" s="37"/>
      <c r="HT20" s="37"/>
      <c r="HU20" s="37"/>
      <c r="HV20" s="37"/>
      <c r="HW20" s="37"/>
      <c r="HX20" s="37"/>
      <c r="HY20" s="37"/>
      <c r="HZ20" s="37"/>
      <c r="IA20" s="37"/>
      <c r="IB20" s="37"/>
      <c r="IC20" s="37"/>
      <c r="ID20" s="37"/>
      <c r="IE20" s="37"/>
      <c r="IF20" s="37"/>
      <c r="IG20" s="37"/>
      <c r="IH20" s="37"/>
      <c r="II20" s="37"/>
      <c r="IJ20" s="37"/>
      <c r="IK20" s="37"/>
      <c r="IL20" s="37"/>
      <c r="IM20" s="37"/>
      <c r="IN20" s="37"/>
      <c r="IO20" s="37"/>
      <c r="IP20" s="37"/>
      <c r="IQ20" s="37"/>
      <c r="IR20" s="37"/>
      <c r="IS20" s="37"/>
      <c r="IT20" s="37"/>
    </row>
    <row r="21" spans="1:254" ht="18.75" x14ac:dyDescent="0.3">
      <c r="A21" s="48" t="s">
        <v>211</v>
      </c>
      <c r="B21" s="44" t="s">
        <v>115</v>
      </c>
      <c r="C21" s="92" t="s">
        <v>189</v>
      </c>
      <c r="D21" s="44" t="s">
        <v>49</v>
      </c>
      <c r="E21" s="49" t="s">
        <v>213</v>
      </c>
      <c r="F21" s="45">
        <f>'В-25'!G549</f>
        <v>21401.5</v>
      </c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  <c r="CU21" s="37"/>
      <c r="CV21" s="37"/>
      <c r="CW21" s="37"/>
      <c r="CX21" s="37"/>
      <c r="CY21" s="37"/>
      <c r="CZ21" s="37"/>
      <c r="DA21" s="37"/>
      <c r="DB21" s="37"/>
      <c r="DC21" s="37"/>
      <c r="DD21" s="37"/>
      <c r="DE21" s="37"/>
      <c r="DF21" s="37"/>
      <c r="DG21" s="37"/>
      <c r="DH21" s="37"/>
      <c r="DI21" s="37"/>
      <c r="DJ21" s="37"/>
      <c r="DK21" s="37"/>
      <c r="DL21" s="37"/>
      <c r="DM21" s="37"/>
      <c r="DN21" s="37"/>
      <c r="DO21" s="37"/>
      <c r="DP21" s="37"/>
      <c r="DQ21" s="37"/>
      <c r="DR21" s="37"/>
      <c r="DS21" s="37"/>
      <c r="DT21" s="37"/>
      <c r="DU21" s="37"/>
      <c r="DV21" s="37"/>
      <c r="DW21" s="37"/>
      <c r="DX21" s="37"/>
      <c r="DY21" s="37"/>
      <c r="DZ21" s="37"/>
      <c r="EA21" s="37"/>
      <c r="EB21" s="37"/>
      <c r="EC21" s="37"/>
      <c r="ED21" s="37"/>
      <c r="EE21" s="37"/>
      <c r="EF21" s="37"/>
      <c r="EG21" s="37"/>
      <c r="EH21" s="37"/>
      <c r="EI21" s="37"/>
      <c r="EJ21" s="37"/>
      <c r="EK21" s="37"/>
      <c r="EL21" s="37"/>
      <c r="EM21" s="37"/>
      <c r="EN21" s="37"/>
      <c r="EO21" s="37"/>
      <c r="EP21" s="37"/>
      <c r="EQ21" s="37"/>
      <c r="ER21" s="37"/>
      <c r="ES21" s="37"/>
      <c r="ET21" s="37"/>
      <c r="EU21" s="37"/>
      <c r="EV21" s="37"/>
      <c r="EW21" s="37"/>
      <c r="EX21" s="37"/>
      <c r="EY21" s="37"/>
      <c r="EZ21" s="37"/>
      <c r="FA21" s="37"/>
      <c r="FB21" s="37"/>
      <c r="FC21" s="37"/>
      <c r="FD21" s="37"/>
      <c r="FE21" s="37"/>
      <c r="FF21" s="37"/>
      <c r="FG21" s="37"/>
      <c r="FH21" s="37"/>
      <c r="FI21" s="37"/>
      <c r="FJ21" s="37"/>
      <c r="FK21" s="37"/>
      <c r="FL21" s="37"/>
      <c r="FM21" s="37"/>
      <c r="FN21" s="37"/>
      <c r="FO21" s="37"/>
      <c r="FP21" s="37"/>
      <c r="FQ21" s="37"/>
      <c r="FR21" s="37"/>
      <c r="FS21" s="37"/>
      <c r="FT21" s="37"/>
      <c r="FU21" s="37"/>
      <c r="FV21" s="37"/>
      <c r="FW21" s="37"/>
      <c r="FX21" s="37"/>
      <c r="FY21" s="37"/>
      <c r="FZ21" s="37"/>
      <c r="GA21" s="37"/>
      <c r="GB21" s="37"/>
      <c r="GC21" s="37"/>
      <c r="GD21" s="37"/>
      <c r="GE21" s="37"/>
      <c r="GF21" s="37"/>
      <c r="GG21" s="37"/>
      <c r="GH21" s="37"/>
      <c r="GI21" s="37"/>
      <c r="GJ21" s="37"/>
      <c r="GK21" s="37"/>
      <c r="GL21" s="37"/>
      <c r="GM21" s="37"/>
      <c r="GN21" s="37"/>
      <c r="GO21" s="37"/>
      <c r="GP21" s="37"/>
      <c r="GQ21" s="37"/>
      <c r="GR21" s="37"/>
      <c r="GS21" s="37"/>
      <c r="GT21" s="37"/>
      <c r="GU21" s="37"/>
      <c r="GV21" s="37"/>
      <c r="GW21" s="37"/>
      <c r="GX21" s="37"/>
      <c r="GY21" s="37"/>
      <c r="GZ21" s="37"/>
      <c r="HA21" s="37"/>
      <c r="HB21" s="37"/>
      <c r="HC21" s="37"/>
      <c r="HD21" s="37"/>
      <c r="HE21" s="37"/>
      <c r="HF21" s="37"/>
      <c r="HG21" s="37"/>
      <c r="HH21" s="37"/>
      <c r="HI21" s="37"/>
      <c r="HJ21" s="37"/>
      <c r="HK21" s="37"/>
      <c r="HL21" s="37"/>
      <c r="HM21" s="37"/>
      <c r="HN21" s="37"/>
      <c r="HO21" s="37"/>
      <c r="HP21" s="37"/>
      <c r="HQ21" s="37"/>
      <c r="HR21" s="37"/>
      <c r="HS21" s="37"/>
      <c r="HT21" s="37"/>
      <c r="HU21" s="37"/>
      <c r="HV21" s="37"/>
      <c r="HW21" s="37"/>
      <c r="HX21" s="37"/>
      <c r="HY21" s="37"/>
      <c r="HZ21" s="37"/>
      <c r="IA21" s="37"/>
      <c r="IB21" s="37"/>
      <c r="IC21" s="37"/>
      <c r="ID21" s="37"/>
      <c r="IE21" s="37"/>
      <c r="IF21" s="37"/>
      <c r="IG21" s="37"/>
      <c r="IH21" s="37"/>
      <c r="II21" s="37"/>
      <c r="IJ21" s="37"/>
      <c r="IK21" s="37"/>
      <c r="IL21" s="37"/>
      <c r="IM21" s="37"/>
      <c r="IN21" s="37"/>
      <c r="IO21" s="37"/>
      <c r="IP21" s="37"/>
      <c r="IQ21" s="37"/>
      <c r="IR21" s="37"/>
      <c r="IS21" s="37"/>
      <c r="IT21" s="37"/>
    </row>
    <row r="22" spans="1:254" ht="37.5" x14ac:dyDescent="0.3">
      <c r="A22" s="48" t="s">
        <v>233</v>
      </c>
      <c r="B22" s="44" t="s">
        <v>117</v>
      </c>
      <c r="C22" s="44" t="s">
        <v>112</v>
      </c>
      <c r="D22" s="44" t="s">
        <v>49</v>
      </c>
      <c r="E22" s="44" t="s">
        <v>50</v>
      </c>
      <c r="F22" s="45">
        <f>F23+F24</f>
        <v>7564.9</v>
      </c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7"/>
      <c r="DB22" s="37"/>
      <c r="DC22" s="37"/>
      <c r="DD22" s="37"/>
      <c r="DE22" s="37"/>
      <c r="DF22" s="37"/>
      <c r="DG22" s="37"/>
      <c r="DH22" s="37"/>
      <c r="DI22" s="37"/>
      <c r="DJ22" s="37"/>
      <c r="DK22" s="37"/>
      <c r="DL22" s="37"/>
      <c r="DM22" s="37"/>
      <c r="DN22" s="37"/>
      <c r="DO22" s="37"/>
      <c r="DP22" s="37"/>
      <c r="DQ22" s="37"/>
      <c r="DR22" s="37"/>
      <c r="DS22" s="37"/>
      <c r="DT22" s="37"/>
      <c r="DU22" s="37"/>
      <c r="DV22" s="37"/>
      <c r="DW22" s="37"/>
      <c r="DX22" s="37"/>
      <c r="DY22" s="37"/>
      <c r="DZ22" s="37"/>
      <c r="EA22" s="37"/>
      <c r="EB22" s="37"/>
      <c r="EC22" s="37"/>
      <c r="ED22" s="37"/>
      <c r="EE22" s="37"/>
      <c r="EF22" s="37"/>
      <c r="EG22" s="37"/>
      <c r="EH22" s="37"/>
      <c r="EI22" s="37"/>
      <c r="EJ22" s="37"/>
      <c r="EK22" s="37"/>
      <c r="EL22" s="37"/>
      <c r="EM22" s="37"/>
      <c r="EN22" s="37"/>
      <c r="EO22" s="37"/>
      <c r="EP22" s="37"/>
      <c r="EQ22" s="37"/>
      <c r="ER22" s="37"/>
      <c r="ES22" s="37"/>
      <c r="ET22" s="37"/>
      <c r="EU22" s="37"/>
      <c r="EV22" s="37"/>
      <c r="EW22" s="37"/>
      <c r="EX22" s="37"/>
      <c r="EY22" s="37"/>
      <c r="EZ22" s="37"/>
      <c r="FA22" s="37"/>
      <c r="FB22" s="37"/>
      <c r="FC22" s="37"/>
      <c r="FD22" s="37"/>
      <c r="FE22" s="37"/>
      <c r="FF22" s="37"/>
      <c r="FG22" s="37"/>
      <c r="FH22" s="37"/>
      <c r="FI22" s="37"/>
      <c r="FJ22" s="37"/>
      <c r="FK22" s="37"/>
      <c r="FL22" s="37"/>
      <c r="FM22" s="37"/>
      <c r="FN22" s="37"/>
      <c r="FO22" s="37"/>
      <c r="FP22" s="37"/>
      <c r="FQ22" s="37"/>
      <c r="FR22" s="37"/>
      <c r="FS22" s="37"/>
      <c r="FT22" s="37"/>
      <c r="FU22" s="37"/>
      <c r="FV22" s="37"/>
      <c r="FW22" s="37"/>
      <c r="FX22" s="37"/>
      <c r="FY22" s="37"/>
      <c r="FZ22" s="37"/>
      <c r="GA22" s="37"/>
      <c r="GB22" s="37"/>
      <c r="GC22" s="37"/>
      <c r="GD22" s="37"/>
      <c r="GE22" s="37"/>
      <c r="GF22" s="37"/>
      <c r="GG22" s="37"/>
      <c r="GH22" s="37"/>
      <c r="GI22" s="37"/>
      <c r="GJ22" s="37"/>
      <c r="GK22" s="37"/>
      <c r="GL22" s="37"/>
      <c r="GM22" s="37"/>
      <c r="GN22" s="37"/>
      <c r="GO22" s="37"/>
      <c r="GP22" s="37"/>
      <c r="GQ22" s="37"/>
      <c r="GR22" s="37"/>
      <c r="GS22" s="37"/>
      <c r="GT22" s="37"/>
      <c r="GU22" s="37"/>
      <c r="GV22" s="37"/>
      <c r="GW22" s="37"/>
      <c r="GX22" s="37"/>
      <c r="GY22" s="37"/>
      <c r="GZ22" s="37"/>
      <c r="HA22" s="37"/>
      <c r="HB22" s="37"/>
      <c r="HC22" s="37"/>
      <c r="HD22" s="37"/>
      <c r="HE22" s="37"/>
      <c r="HF22" s="37"/>
      <c r="HG22" s="37"/>
      <c r="HH22" s="37"/>
      <c r="HI22" s="37"/>
      <c r="HJ22" s="37"/>
      <c r="HK22" s="37"/>
      <c r="HL22" s="37"/>
      <c r="HM22" s="37"/>
      <c r="HN22" s="37"/>
      <c r="HO22" s="37"/>
      <c r="HP22" s="37"/>
      <c r="HQ22" s="37"/>
      <c r="HR22" s="37"/>
      <c r="HS22" s="37"/>
      <c r="HT22" s="37"/>
      <c r="HU22" s="37"/>
      <c r="HV22" s="37"/>
      <c r="HW22" s="37"/>
      <c r="HX22" s="37"/>
      <c r="HY22" s="37"/>
      <c r="HZ22" s="37"/>
      <c r="IA22" s="37"/>
      <c r="IB22" s="37"/>
      <c r="IC22" s="37"/>
      <c r="ID22" s="37"/>
      <c r="IE22" s="37"/>
      <c r="IF22" s="37"/>
      <c r="IG22" s="37"/>
      <c r="IH22" s="37"/>
      <c r="II22" s="37"/>
      <c r="IJ22" s="37"/>
      <c r="IK22" s="37"/>
      <c r="IL22" s="37"/>
      <c r="IM22" s="37"/>
      <c r="IN22" s="37"/>
      <c r="IO22" s="37"/>
      <c r="IP22" s="37"/>
      <c r="IQ22" s="37"/>
      <c r="IR22" s="37"/>
      <c r="IS22" s="37"/>
      <c r="IT22" s="37"/>
    </row>
    <row r="23" spans="1:254" ht="63.75" customHeight="1" x14ac:dyDescent="0.3">
      <c r="A23" s="104" t="s">
        <v>563</v>
      </c>
      <c r="B23" s="44" t="s">
        <v>117</v>
      </c>
      <c r="C23" s="44" t="s">
        <v>169</v>
      </c>
      <c r="D23" s="44" t="s">
        <v>49</v>
      </c>
      <c r="E23" s="44" t="s">
        <v>50</v>
      </c>
      <c r="F23" s="45">
        <f>'В-25'!G624</f>
        <v>7346.7999999999993</v>
      </c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7"/>
      <c r="EA23" s="37"/>
      <c r="EB23" s="37"/>
      <c r="EC23" s="37"/>
      <c r="ED23" s="37"/>
      <c r="EE23" s="37"/>
      <c r="EF23" s="37"/>
      <c r="EG23" s="37"/>
      <c r="EH23" s="37"/>
      <c r="EI23" s="37"/>
      <c r="EJ23" s="37"/>
      <c r="EK23" s="37"/>
      <c r="EL23" s="37"/>
      <c r="EM23" s="37"/>
      <c r="EN23" s="37"/>
      <c r="EO23" s="37"/>
      <c r="EP23" s="37"/>
      <c r="EQ23" s="37"/>
      <c r="ER23" s="37"/>
      <c r="ES23" s="37"/>
      <c r="ET23" s="37"/>
      <c r="EU23" s="37"/>
      <c r="EV23" s="37"/>
      <c r="EW23" s="37"/>
      <c r="EX23" s="37"/>
      <c r="EY23" s="37"/>
      <c r="EZ23" s="37"/>
      <c r="FA23" s="37"/>
      <c r="FB23" s="37"/>
      <c r="FC23" s="37"/>
      <c r="FD23" s="37"/>
      <c r="FE23" s="37"/>
      <c r="FF23" s="37"/>
      <c r="FG23" s="37"/>
      <c r="FH23" s="37"/>
      <c r="FI23" s="37"/>
      <c r="FJ23" s="37"/>
      <c r="FK23" s="37"/>
      <c r="FL23" s="37"/>
      <c r="FM23" s="37"/>
      <c r="FN23" s="37"/>
      <c r="FO23" s="37"/>
      <c r="FP23" s="37"/>
      <c r="FQ23" s="37"/>
      <c r="FR23" s="37"/>
      <c r="FS23" s="37"/>
      <c r="FT23" s="37"/>
      <c r="FU23" s="37"/>
      <c r="FV23" s="37"/>
      <c r="FW23" s="37"/>
      <c r="FX23" s="37"/>
      <c r="FY23" s="37"/>
      <c r="FZ23" s="37"/>
      <c r="GA23" s="37"/>
      <c r="GB23" s="37"/>
      <c r="GC23" s="37"/>
      <c r="GD23" s="37"/>
      <c r="GE23" s="37"/>
      <c r="GF23" s="37"/>
      <c r="GG23" s="37"/>
      <c r="GH23" s="37"/>
      <c r="GI23" s="37"/>
      <c r="GJ23" s="37"/>
      <c r="GK23" s="37"/>
      <c r="GL23" s="37"/>
      <c r="GM23" s="37"/>
      <c r="GN23" s="37"/>
      <c r="GO23" s="37"/>
      <c r="GP23" s="37"/>
      <c r="GQ23" s="37"/>
      <c r="GR23" s="37"/>
      <c r="GS23" s="37"/>
      <c r="GT23" s="37"/>
      <c r="GU23" s="37"/>
      <c r="GV23" s="37"/>
      <c r="GW23" s="37"/>
      <c r="GX23" s="37"/>
      <c r="GY23" s="37"/>
      <c r="GZ23" s="37"/>
      <c r="HA23" s="37"/>
      <c r="HB23" s="37"/>
      <c r="HC23" s="37"/>
      <c r="HD23" s="37"/>
      <c r="HE23" s="37"/>
      <c r="HF23" s="37"/>
      <c r="HG23" s="37"/>
      <c r="HH23" s="37"/>
      <c r="HI23" s="37"/>
      <c r="HJ23" s="37"/>
      <c r="HK23" s="37"/>
      <c r="HL23" s="37"/>
      <c r="HM23" s="37"/>
      <c r="HN23" s="37"/>
      <c r="HO23" s="37"/>
      <c r="HP23" s="37"/>
      <c r="HQ23" s="37"/>
      <c r="HR23" s="37"/>
      <c r="HS23" s="37"/>
      <c r="HT23" s="37"/>
      <c r="HU23" s="37"/>
      <c r="HV23" s="37"/>
      <c r="HW23" s="37"/>
      <c r="HX23" s="37"/>
      <c r="HY23" s="37"/>
      <c r="HZ23" s="37"/>
      <c r="IA23" s="37"/>
      <c r="IB23" s="37"/>
      <c r="IC23" s="37"/>
      <c r="ID23" s="37"/>
      <c r="IE23" s="37"/>
      <c r="IF23" s="37"/>
      <c r="IG23" s="37"/>
      <c r="IH23" s="37"/>
      <c r="II23" s="37"/>
      <c r="IJ23" s="37"/>
      <c r="IK23" s="37"/>
      <c r="IL23" s="37"/>
      <c r="IM23" s="37"/>
      <c r="IN23" s="37"/>
      <c r="IO23" s="37"/>
      <c r="IP23" s="37"/>
      <c r="IQ23" s="37"/>
      <c r="IR23" s="37"/>
      <c r="IS23" s="37"/>
      <c r="IT23" s="37"/>
    </row>
    <row r="24" spans="1:254" s="50" customFormat="1" ht="57.75" customHeight="1" x14ac:dyDescent="0.3">
      <c r="A24" s="48" t="s">
        <v>239</v>
      </c>
      <c r="B24" s="44" t="s">
        <v>117</v>
      </c>
      <c r="C24" s="44" t="s">
        <v>240</v>
      </c>
      <c r="D24" s="44" t="s">
        <v>49</v>
      </c>
      <c r="E24" s="44" t="s">
        <v>50</v>
      </c>
      <c r="F24" s="46">
        <f>'В-25'!G672</f>
        <v>218.1</v>
      </c>
      <c r="G24" s="38"/>
    </row>
    <row r="25" spans="1:254" ht="18.75" x14ac:dyDescent="0.3">
      <c r="A25" s="48" t="s">
        <v>243</v>
      </c>
      <c r="B25" s="92" t="s">
        <v>121</v>
      </c>
      <c r="C25" s="92" t="s">
        <v>112</v>
      </c>
      <c r="D25" s="44" t="s">
        <v>49</v>
      </c>
      <c r="E25" s="44" t="s">
        <v>50</v>
      </c>
      <c r="F25" s="46">
        <f>SUM(F26:F29)</f>
        <v>74707.199999999997</v>
      </c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37"/>
      <c r="DQ25" s="37"/>
      <c r="DR25" s="37"/>
      <c r="DS25" s="37"/>
      <c r="DT25" s="37"/>
      <c r="DU25" s="37"/>
      <c r="DV25" s="37"/>
      <c r="DW25" s="37"/>
      <c r="DX25" s="37"/>
      <c r="DY25" s="37"/>
      <c r="DZ25" s="37"/>
      <c r="EA25" s="37"/>
      <c r="EB25" s="37"/>
      <c r="EC25" s="37"/>
      <c r="ED25" s="37"/>
      <c r="EE25" s="37"/>
      <c r="EF25" s="37"/>
      <c r="EG25" s="37"/>
      <c r="EH25" s="37"/>
      <c r="EI25" s="37"/>
      <c r="EJ25" s="37"/>
      <c r="EK25" s="37"/>
      <c r="EL25" s="37"/>
      <c r="EM25" s="37"/>
      <c r="EN25" s="37"/>
      <c r="EO25" s="37"/>
      <c r="EP25" s="37"/>
      <c r="EQ25" s="37"/>
      <c r="ER25" s="37"/>
      <c r="ES25" s="37"/>
      <c r="ET25" s="37"/>
      <c r="EU25" s="37"/>
      <c r="EV25" s="37"/>
      <c r="EW25" s="37"/>
      <c r="EX25" s="37"/>
      <c r="EY25" s="37"/>
      <c r="EZ25" s="37"/>
      <c r="FA25" s="37"/>
      <c r="FB25" s="37"/>
      <c r="FC25" s="37"/>
      <c r="FD25" s="37"/>
      <c r="FE25" s="37"/>
      <c r="FF25" s="37"/>
      <c r="FG25" s="37"/>
      <c r="FH25" s="37"/>
      <c r="FI25" s="37"/>
      <c r="FJ25" s="37"/>
      <c r="FK25" s="37"/>
      <c r="FL25" s="37"/>
      <c r="FM25" s="37"/>
      <c r="FN25" s="37"/>
      <c r="FO25" s="37"/>
      <c r="FP25" s="37"/>
      <c r="FQ25" s="37"/>
      <c r="FR25" s="37"/>
      <c r="FS25" s="37"/>
      <c r="FT25" s="37"/>
      <c r="FU25" s="37"/>
      <c r="FV25" s="37"/>
      <c r="FW25" s="37"/>
      <c r="FX25" s="37"/>
      <c r="FY25" s="37"/>
      <c r="FZ25" s="37"/>
      <c r="GA25" s="37"/>
      <c r="GB25" s="37"/>
      <c r="GC25" s="37"/>
      <c r="GD25" s="37"/>
      <c r="GE25" s="37"/>
      <c r="GF25" s="37"/>
      <c r="GG25" s="37"/>
      <c r="GH25" s="37"/>
      <c r="GI25" s="37"/>
      <c r="GJ25" s="37"/>
      <c r="GK25" s="37"/>
      <c r="GL25" s="37"/>
      <c r="GM25" s="37"/>
      <c r="GN25" s="37"/>
      <c r="GO25" s="37"/>
      <c r="GP25" s="37"/>
      <c r="GQ25" s="37"/>
      <c r="GR25" s="37"/>
      <c r="GS25" s="37"/>
      <c r="GT25" s="37"/>
      <c r="GU25" s="37"/>
      <c r="GV25" s="37"/>
      <c r="GW25" s="37"/>
      <c r="GX25" s="37"/>
      <c r="GY25" s="37"/>
      <c r="GZ25" s="37"/>
      <c r="HA25" s="37"/>
      <c r="HB25" s="37"/>
      <c r="HC25" s="37"/>
      <c r="HD25" s="37"/>
      <c r="HE25" s="37"/>
      <c r="HF25" s="37"/>
      <c r="HG25" s="37"/>
      <c r="HH25" s="37"/>
      <c r="HI25" s="37"/>
      <c r="HJ25" s="37"/>
      <c r="HK25" s="37"/>
      <c r="HL25" s="37"/>
      <c r="HM25" s="37"/>
      <c r="HN25" s="37"/>
      <c r="HO25" s="37"/>
      <c r="HP25" s="37"/>
      <c r="HQ25" s="37"/>
      <c r="HR25" s="37"/>
      <c r="HS25" s="37"/>
      <c r="HT25" s="37"/>
      <c r="HU25" s="37"/>
      <c r="HV25" s="37"/>
      <c r="HW25" s="37"/>
      <c r="HX25" s="37"/>
      <c r="HY25" s="37"/>
      <c r="HZ25" s="37"/>
      <c r="IA25" s="37"/>
      <c r="IB25" s="37"/>
      <c r="IC25" s="37"/>
      <c r="ID25" s="37"/>
      <c r="IE25" s="37"/>
      <c r="IF25" s="37"/>
      <c r="IG25" s="37"/>
      <c r="IH25" s="37"/>
      <c r="II25" s="37"/>
      <c r="IJ25" s="37"/>
      <c r="IK25" s="37"/>
      <c r="IL25" s="37"/>
      <c r="IM25" s="37"/>
      <c r="IN25" s="37"/>
      <c r="IO25" s="37"/>
      <c r="IP25" s="37"/>
      <c r="IQ25" s="37"/>
      <c r="IR25" s="37"/>
      <c r="IS25" s="37"/>
      <c r="IT25" s="37"/>
    </row>
    <row r="26" spans="1:254" ht="18.75" hidden="1" x14ac:dyDescent="0.3">
      <c r="A26" s="51" t="s">
        <v>244</v>
      </c>
      <c r="B26" s="92" t="s">
        <v>121</v>
      </c>
      <c r="C26" s="92" t="s">
        <v>209</v>
      </c>
      <c r="D26" s="44" t="s">
        <v>49</v>
      </c>
      <c r="E26" s="44" t="s">
        <v>50</v>
      </c>
      <c r="F26" s="46">
        <f>'В-25'!G696</f>
        <v>0</v>
      </c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7"/>
      <c r="BZ26" s="37"/>
      <c r="CA26" s="37"/>
      <c r="CB26" s="37"/>
      <c r="CC26" s="37"/>
      <c r="CD26" s="37"/>
      <c r="CE26" s="37"/>
      <c r="CF26" s="37"/>
      <c r="CG26" s="37"/>
      <c r="CH26" s="37"/>
      <c r="CI26" s="37"/>
      <c r="CJ26" s="37"/>
      <c r="CK26" s="37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7"/>
      <c r="CY26" s="37"/>
      <c r="CZ26" s="37"/>
      <c r="DA26" s="37"/>
      <c r="DB26" s="37"/>
      <c r="DC26" s="37"/>
      <c r="DD26" s="37"/>
      <c r="DE26" s="37"/>
      <c r="DF26" s="37"/>
      <c r="DG26" s="37"/>
      <c r="DH26" s="37"/>
      <c r="DI26" s="37"/>
      <c r="DJ26" s="37"/>
      <c r="DK26" s="37"/>
      <c r="DL26" s="37"/>
      <c r="DM26" s="37"/>
      <c r="DN26" s="37"/>
      <c r="DO26" s="37"/>
      <c r="DP26" s="37"/>
      <c r="DQ26" s="37"/>
      <c r="DR26" s="37"/>
      <c r="DS26" s="37"/>
      <c r="DT26" s="37"/>
      <c r="DU26" s="37"/>
      <c r="DV26" s="37"/>
      <c r="DW26" s="37"/>
      <c r="DX26" s="37"/>
      <c r="DY26" s="37"/>
      <c r="DZ26" s="37"/>
      <c r="EA26" s="37"/>
      <c r="EB26" s="37"/>
      <c r="EC26" s="37"/>
      <c r="ED26" s="37"/>
      <c r="EE26" s="37"/>
      <c r="EF26" s="37"/>
      <c r="EG26" s="37"/>
      <c r="EH26" s="37"/>
      <c r="EI26" s="37"/>
      <c r="EJ26" s="37"/>
      <c r="EK26" s="37"/>
      <c r="EL26" s="37"/>
      <c r="EM26" s="37"/>
      <c r="EN26" s="37"/>
      <c r="EO26" s="37"/>
      <c r="EP26" s="37"/>
      <c r="EQ26" s="37"/>
      <c r="ER26" s="37"/>
      <c r="ES26" s="37"/>
      <c r="ET26" s="37"/>
      <c r="EU26" s="37"/>
      <c r="EV26" s="37"/>
      <c r="EW26" s="37"/>
      <c r="EX26" s="37"/>
      <c r="EY26" s="37"/>
      <c r="EZ26" s="37"/>
      <c r="FA26" s="37"/>
      <c r="FB26" s="37"/>
      <c r="FC26" s="37"/>
      <c r="FD26" s="37"/>
      <c r="FE26" s="37"/>
      <c r="FF26" s="37"/>
      <c r="FG26" s="37"/>
      <c r="FH26" s="37"/>
      <c r="FI26" s="37"/>
      <c r="FJ26" s="37"/>
      <c r="FK26" s="37"/>
      <c r="FL26" s="37"/>
      <c r="FM26" s="37"/>
      <c r="FN26" s="37"/>
      <c r="FO26" s="37"/>
      <c r="FP26" s="37"/>
      <c r="FQ26" s="37"/>
      <c r="FR26" s="37"/>
      <c r="FS26" s="37"/>
      <c r="FT26" s="37"/>
      <c r="FU26" s="37"/>
      <c r="FV26" s="37"/>
      <c r="FW26" s="37"/>
      <c r="FX26" s="37"/>
      <c r="FY26" s="37"/>
      <c r="FZ26" s="37"/>
      <c r="GA26" s="37"/>
      <c r="GB26" s="37"/>
      <c r="GC26" s="37"/>
      <c r="GD26" s="37"/>
      <c r="GE26" s="37"/>
      <c r="GF26" s="37"/>
      <c r="GG26" s="37"/>
      <c r="GH26" s="37"/>
      <c r="GI26" s="37"/>
      <c r="GJ26" s="37"/>
      <c r="GK26" s="37"/>
      <c r="GL26" s="37"/>
      <c r="GM26" s="37"/>
      <c r="GN26" s="37"/>
      <c r="GO26" s="37"/>
      <c r="GP26" s="37"/>
      <c r="GQ26" s="37"/>
      <c r="GR26" s="37"/>
      <c r="GS26" s="37"/>
      <c r="GT26" s="37"/>
      <c r="GU26" s="37"/>
      <c r="GV26" s="37"/>
      <c r="GW26" s="37"/>
      <c r="GX26" s="37"/>
      <c r="GY26" s="37"/>
      <c r="GZ26" s="37"/>
      <c r="HA26" s="37"/>
      <c r="HB26" s="37"/>
      <c r="HC26" s="37"/>
      <c r="HD26" s="37"/>
      <c r="HE26" s="37"/>
      <c r="HF26" s="37"/>
      <c r="HG26" s="37"/>
      <c r="HH26" s="37"/>
      <c r="HI26" s="37"/>
      <c r="HJ26" s="37"/>
      <c r="HK26" s="37"/>
      <c r="HL26" s="37"/>
      <c r="HM26" s="37"/>
      <c r="HN26" s="37"/>
      <c r="HO26" s="37"/>
      <c r="HP26" s="37"/>
      <c r="HQ26" s="37"/>
      <c r="HR26" s="37"/>
      <c r="HS26" s="37"/>
      <c r="HT26" s="37"/>
      <c r="HU26" s="37"/>
      <c r="HV26" s="37"/>
      <c r="HW26" s="37"/>
      <c r="HX26" s="37"/>
      <c r="HY26" s="37"/>
      <c r="HZ26" s="37"/>
      <c r="IA26" s="37"/>
      <c r="IB26" s="37"/>
      <c r="IC26" s="37"/>
      <c r="ID26" s="37"/>
      <c r="IE26" s="37"/>
      <c r="IF26" s="37"/>
      <c r="IG26" s="37"/>
      <c r="IH26" s="37"/>
      <c r="II26" s="37"/>
      <c r="IJ26" s="37"/>
      <c r="IK26" s="37"/>
      <c r="IL26" s="37"/>
      <c r="IM26" s="37"/>
      <c r="IN26" s="37"/>
      <c r="IO26" s="37"/>
      <c r="IP26" s="37"/>
      <c r="IQ26" s="37"/>
      <c r="IR26" s="37"/>
      <c r="IS26" s="37"/>
      <c r="IT26" s="37"/>
    </row>
    <row r="27" spans="1:254" ht="18.75" x14ac:dyDescent="0.3">
      <c r="A27" s="48" t="s">
        <v>343</v>
      </c>
      <c r="B27" s="44" t="s">
        <v>121</v>
      </c>
      <c r="C27" s="44" t="s">
        <v>130</v>
      </c>
      <c r="D27" s="44" t="s">
        <v>49</v>
      </c>
      <c r="E27" s="44" t="s">
        <v>50</v>
      </c>
      <c r="F27" s="46">
        <f>'В-25'!G705</f>
        <v>100.2</v>
      </c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37"/>
      <c r="DQ27" s="37"/>
      <c r="DR27" s="37"/>
      <c r="DS27" s="37"/>
      <c r="DT27" s="37"/>
      <c r="DU27" s="37"/>
      <c r="DV27" s="37"/>
      <c r="DW27" s="37"/>
      <c r="DX27" s="37"/>
      <c r="DY27" s="37"/>
      <c r="DZ27" s="37"/>
      <c r="EA27" s="37"/>
      <c r="EB27" s="37"/>
      <c r="EC27" s="37"/>
      <c r="ED27" s="37"/>
      <c r="EE27" s="37"/>
      <c r="EF27" s="37"/>
      <c r="EG27" s="37"/>
      <c r="EH27" s="37"/>
      <c r="EI27" s="37"/>
      <c r="EJ27" s="37"/>
      <c r="EK27" s="37"/>
      <c r="EL27" s="37"/>
      <c r="EM27" s="37"/>
      <c r="EN27" s="37"/>
      <c r="EO27" s="37"/>
      <c r="EP27" s="37"/>
      <c r="EQ27" s="37"/>
      <c r="ER27" s="37"/>
      <c r="ES27" s="37"/>
      <c r="ET27" s="37"/>
      <c r="EU27" s="37"/>
      <c r="EV27" s="37"/>
      <c r="EW27" s="37"/>
      <c r="EX27" s="37"/>
      <c r="EY27" s="37"/>
      <c r="EZ27" s="37"/>
      <c r="FA27" s="37"/>
      <c r="FB27" s="37"/>
      <c r="FC27" s="37"/>
      <c r="FD27" s="37"/>
      <c r="FE27" s="37"/>
      <c r="FF27" s="37"/>
      <c r="FG27" s="37"/>
      <c r="FH27" s="37"/>
      <c r="FI27" s="37"/>
      <c r="FJ27" s="37"/>
      <c r="FK27" s="37"/>
      <c r="FL27" s="37"/>
      <c r="FM27" s="37"/>
      <c r="FN27" s="37"/>
      <c r="FO27" s="37"/>
      <c r="FP27" s="37"/>
      <c r="FQ27" s="37"/>
      <c r="FR27" s="37"/>
      <c r="FS27" s="37"/>
      <c r="FT27" s="37"/>
      <c r="FU27" s="37"/>
      <c r="FV27" s="37"/>
      <c r="FW27" s="37"/>
      <c r="FX27" s="37"/>
      <c r="FY27" s="37"/>
      <c r="FZ27" s="37"/>
      <c r="GA27" s="37"/>
      <c r="GB27" s="37"/>
      <c r="GC27" s="37"/>
      <c r="GD27" s="37"/>
      <c r="GE27" s="37"/>
      <c r="GF27" s="37"/>
      <c r="GG27" s="37"/>
      <c r="GH27" s="37"/>
      <c r="GI27" s="37"/>
      <c r="GJ27" s="37"/>
      <c r="GK27" s="37"/>
      <c r="GL27" s="37"/>
      <c r="GM27" s="37"/>
      <c r="GN27" s="37"/>
      <c r="GO27" s="37"/>
      <c r="GP27" s="37"/>
      <c r="GQ27" s="37"/>
      <c r="GR27" s="37"/>
      <c r="GS27" s="37"/>
      <c r="GT27" s="37"/>
      <c r="GU27" s="37"/>
      <c r="GV27" s="37"/>
      <c r="GW27" s="37"/>
      <c r="GX27" s="37"/>
      <c r="GY27" s="37"/>
      <c r="GZ27" s="37"/>
      <c r="HA27" s="37"/>
      <c r="HB27" s="37"/>
      <c r="HC27" s="37"/>
      <c r="HD27" s="37"/>
      <c r="HE27" s="37"/>
      <c r="HF27" s="37"/>
      <c r="HG27" s="37"/>
      <c r="HH27" s="37"/>
      <c r="HI27" s="37"/>
      <c r="HJ27" s="37"/>
      <c r="HK27" s="37"/>
      <c r="HL27" s="37"/>
      <c r="HM27" s="37"/>
      <c r="HN27" s="37"/>
      <c r="HO27" s="37"/>
      <c r="HP27" s="37"/>
      <c r="HQ27" s="37"/>
      <c r="HR27" s="37"/>
      <c r="HS27" s="37"/>
      <c r="HT27" s="37"/>
      <c r="HU27" s="37"/>
      <c r="HV27" s="37"/>
      <c r="HW27" s="37"/>
      <c r="HX27" s="37"/>
      <c r="HY27" s="37"/>
      <c r="HZ27" s="37"/>
      <c r="IA27" s="37"/>
      <c r="IB27" s="37"/>
      <c r="IC27" s="37"/>
      <c r="ID27" s="37"/>
      <c r="IE27" s="37"/>
      <c r="IF27" s="37"/>
      <c r="IG27" s="37"/>
      <c r="IH27" s="37"/>
      <c r="II27" s="37"/>
      <c r="IJ27" s="37"/>
      <c r="IK27" s="37"/>
      <c r="IL27" s="37"/>
      <c r="IM27" s="37"/>
      <c r="IN27" s="37"/>
      <c r="IO27" s="37"/>
      <c r="IP27" s="37"/>
      <c r="IQ27" s="37"/>
      <c r="IR27" s="37"/>
      <c r="IS27" s="37"/>
      <c r="IT27" s="37"/>
    </row>
    <row r="28" spans="1:254" ht="18.75" x14ac:dyDescent="0.3">
      <c r="A28" s="48" t="s">
        <v>247</v>
      </c>
      <c r="B28" s="44" t="s">
        <v>121</v>
      </c>
      <c r="C28" s="44" t="s">
        <v>128</v>
      </c>
      <c r="D28" s="44" t="s">
        <v>49</v>
      </c>
      <c r="E28" s="92" t="s">
        <v>50</v>
      </c>
      <c r="F28" s="45">
        <f>'В-25'!G722</f>
        <v>74407</v>
      </c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7"/>
      <c r="BZ28" s="37"/>
      <c r="CA28" s="37"/>
      <c r="CB28" s="37"/>
      <c r="CC28" s="37"/>
      <c r="CD28" s="37"/>
      <c r="CE28" s="37"/>
      <c r="CF28" s="37"/>
      <c r="CG28" s="37"/>
      <c r="CH28" s="37"/>
      <c r="CI28" s="37"/>
      <c r="CJ28" s="37"/>
      <c r="CK28" s="37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7"/>
      <c r="CY28" s="37"/>
      <c r="CZ28" s="37"/>
      <c r="DA28" s="37"/>
      <c r="DB28" s="37"/>
      <c r="DC28" s="37"/>
      <c r="DD28" s="37"/>
      <c r="DE28" s="37"/>
      <c r="DF28" s="37"/>
      <c r="DG28" s="37"/>
      <c r="DH28" s="37"/>
      <c r="DI28" s="37"/>
      <c r="DJ28" s="37"/>
      <c r="DK28" s="37"/>
      <c r="DL28" s="37"/>
      <c r="DM28" s="37"/>
      <c r="DN28" s="37"/>
      <c r="DO28" s="37"/>
      <c r="DP28" s="37"/>
      <c r="DQ28" s="37"/>
      <c r="DR28" s="37"/>
      <c r="DS28" s="37"/>
      <c r="DT28" s="37"/>
      <c r="DU28" s="37"/>
      <c r="DV28" s="37"/>
      <c r="DW28" s="37"/>
      <c r="DX28" s="37"/>
      <c r="DY28" s="37"/>
      <c r="DZ28" s="37"/>
      <c r="EA28" s="37"/>
      <c r="EB28" s="37"/>
      <c r="EC28" s="37"/>
      <c r="ED28" s="37"/>
      <c r="EE28" s="37"/>
      <c r="EF28" s="37"/>
      <c r="EG28" s="37"/>
      <c r="EH28" s="37"/>
      <c r="EI28" s="37"/>
      <c r="EJ28" s="37"/>
      <c r="EK28" s="37"/>
      <c r="EL28" s="37"/>
      <c r="EM28" s="37"/>
      <c r="EN28" s="37"/>
      <c r="EO28" s="37"/>
      <c r="EP28" s="37"/>
      <c r="EQ28" s="37"/>
      <c r="ER28" s="37"/>
      <c r="ES28" s="37"/>
      <c r="ET28" s="37"/>
      <c r="EU28" s="37"/>
      <c r="EV28" s="37"/>
      <c r="EW28" s="37"/>
      <c r="EX28" s="37"/>
      <c r="EY28" s="37"/>
      <c r="EZ28" s="37"/>
      <c r="FA28" s="37"/>
      <c r="FB28" s="37"/>
      <c r="FC28" s="37"/>
      <c r="FD28" s="37"/>
      <c r="FE28" s="37"/>
      <c r="FF28" s="37"/>
      <c r="FG28" s="37"/>
      <c r="FH28" s="37"/>
      <c r="FI28" s="37"/>
      <c r="FJ28" s="37"/>
      <c r="FK28" s="37"/>
      <c r="FL28" s="37"/>
      <c r="FM28" s="37"/>
      <c r="FN28" s="37"/>
      <c r="FO28" s="37"/>
      <c r="FP28" s="37"/>
      <c r="FQ28" s="37"/>
      <c r="FR28" s="37"/>
      <c r="FS28" s="37"/>
      <c r="FT28" s="37"/>
      <c r="FU28" s="37"/>
      <c r="FV28" s="37"/>
      <c r="FW28" s="37"/>
      <c r="FX28" s="37"/>
      <c r="FY28" s="37"/>
      <c r="FZ28" s="37"/>
      <c r="GA28" s="37"/>
      <c r="GB28" s="37"/>
      <c r="GC28" s="37"/>
      <c r="GD28" s="37"/>
      <c r="GE28" s="37"/>
      <c r="GF28" s="37"/>
      <c r="GG28" s="37"/>
      <c r="GH28" s="37"/>
      <c r="GI28" s="37"/>
      <c r="GJ28" s="37"/>
      <c r="GK28" s="37"/>
      <c r="GL28" s="37"/>
      <c r="GM28" s="37"/>
      <c r="GN28" s="37"/>
      <c r="GO28" s="37"/>
      <c r="GP28" s="37"/>
      <c r="GQ28" s="37"/>
      <c r="GR28" s="37"/>
      <c r="GS28" s="37"/>
      <c r="GT28" s="37"/>
      <c r="GU28" s="37"/>
      <c r="GV28" s="37"/>
      <c r="GW28" s="37"/>
      <c r="GX28" s="37"/>
      <c r="GY28" s="37"/>
      <c r="GZ28" s="37"/>
      <c r="HA28" s="37"/>
      <c r="HB28" s="37"/>
      <c r="HC28" s="37"/>
      <c r="HD28" s="37"/>
      <c r="HE28" s="37"/>
      <c r="HF28" s="37"/>
      <c r="HG28" s="37"/>
      <c r="HH28" s="37"/>
      <c r="HI28" s="37"/>
      <c r="HJ28" s="37"/>
      <c r="HK28" s="37"/>
      <c r="HL28" s="37"/>
      <c r="HM28" s="37"/>
      <c r="HN28" s="37"/>
      <c r="HO28" s="37"/>
      <c r="HP28" s="37"/>
      <c r="HQ28" s="37"/>
      <c r="HR28" s="37"/>
      <c r="HS28" s="37"/>
      <c r="HT28" s="37"/>
      <c r="HU28" s="37"/>
      <c r="HV28" s="37"/>
      <c r="HW28" s="37"/>
      <c r="HX28" s="37"/>
      <c r="HY28" s="37"/>
      <c r="HZ28" s="37"/>
      <c r="IA28" s="37"/>
      <c r="IB28" s="37"/>
      <c r="IC28" s="37"/>
      <c r="ID28" s="37"/>
      <c r="IE28" s="37"/>
      <c r="IF28" s="37"/>
      <c r="IG28" s="37"/>
      <c r="IH28" s="37"/>
      <c r="II28" s="37"/>
      <c r="IJ28" s="37"/>
      <c r="IK28" s="37"/>
      <c r="IL28" s="37"/>
      <c r="IM28" s="37"/>
      <c r="IN28" s="37"/>
      <c r="IO28" s="37"/>
      <c r="IP28" s="37"/>
      <c r="IQ28" s="37"/>
      <c r="IR28" s="37"/>
      <c r="IS28" s="37"/>
      <c r="IT28" s="37"/>
    </row>
    <row r="29" spans="1:254" ht="40.5" customHeight="1" x14ac:dyDescent="0.3">
      <c r="A29" s="48" t="s">
        <v>258</v>
      </c>
      <c r="B29" s="44" t="s">
        <v>121</v>
      </c>
      <c r="C29" s="92">
        <v>12</v>
      </c>
      <c r="D29" s="44" t="s">
        <v>49</v>
      </c>
      <c r="E29" s="44" t="s">
        <v>50</v>
      </c>
      <c r="F29" s="45">
        <f>'В-25'!G866</f>
        <v>200</v>
      </c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  <c r="EA29" s="37"/>
      <c r="EB29" s="37"/>
      <c r="EC29" s="37"/>
      <c r="ED29" s="37"/>
      <c r="EE29" s="37"/>
      <c r="EF29" s="37"/>
      <c r="EG29" s="37"/>
      <c r="EH29" s="37"/>
      <c r="EI29" s="37"/>
      <c r="EJ29" s="37"/>
      <c r="EK29" s="37"/>
      <c r="EL29" s="37"/>
      <c r="EM29" s="37"/>
      <c r="EN29" s="37"/>
      <c r="EO29" s="37"/>
      <c r="EP29" s="37"/>
      <c r="EQ29" s="37"/>
      <c r="ER29" s="37"/>
      <c r="ES29" s="37"/>
      <c r="ET29" s="37"/>
      <c r="EU29" s="37"/>
      <c r="EV29" s="37"/>
      <c r="EW29" s="37"/>
      <c r="EX29" s="37"/>
      <c r="EY29" s="37"/>
      <c r="EZ29" s="37"/>
      <c r="FA29" s="37"/>
      <c r="FB29" s="37"/>
      <c r="FC29" s="37"/>
      <c r="FD29" s="37"/>
      <c r="FE29" s="37"/>
      <c r="FF29" s="37"/>
      <c r="FG29" s="37"/>
      <c r="FH29" s="37"/>
      <c r="FI29" s="37"/>
      <c r="FJ29" s="37"/>
      <c r="FK29" s="37"/>
      <c r="FL29" s="37"/>
      <c r="FM29" s="37"/>
      <c r="FN29" s="37"/>
      <c r="FO29" s="37"/>
      <c r="FP29" s="37"/>
      <c r="FQ29" s="37"/>
      <c r="FR29" s="37"/>
      <c r="FS29" s="37"/>
      <c r="FT29" s="37"/>
      <c r="FU29" s="37"/>
      <c r="FV29" s="37"/>
      <c r="FW29" s="37"/>
      <c r="FX29" s="37"/>
      <c r="FY29" s="37"/>
      <c r="FZ29" s="37"/>
      <c r="GA29" s="37"/>
      <c r="GB29" s="37"/>
      <c r="GC29" s="37"/>
      <c r="GD29" s="37"/>
      <c r="GE29" s="37"/>
      <c r="GF29" s="37"/>
      <c r="GG29" s="37"/>
      <c r="GH29" s="37"/>
      <c r="GI29" s="37"/>
      <c r="GJ29" s="37"/>
      <c r="GK29" s="37"/>
      <c r="GL29" s="37"/>
      <c r="GM29" s="37"/>
      <c r="GN29" s="37"/>
      <c r="GO29" s="37"/>
      <c r="GP29" s="37"/>
      <c r="GQ29" s="37"/>
      <c r="GR29" s="37"/>
      <c r="GS29" s="37"/>
      <c r="GT29" s="37"/>
      <c r="GU29" s="37"/>
      <c r="GV29" s="37"/>
      <c r="GW29" s="37"/>
      <c r="GX29" s="37"/>
      <c r="GY29" s="37"/>
      <c r="GZ29" s="37"/>
      <c r="HA29" s="37"/>
      <c r="HB29" s="37"/>
      <c r="HC29" s="37"/>
      <c r="HD29" s="37"/>
      <c r="HE29" s="37"/>
      <c r="HF29" s="37"/>
      <c r="HG29" s="37"/>
      <c r="HH29" s="37"/>
      <c r="HI29" s="37"/>
      <c r="HJ29" s="37"/>
      <c r="HK29" s="37"/>
      <c r="HL29" s="37"/>
      <c r="HM29" s="37"/>
      <c r="HN29" s="37"/>
      <c r="HO29" s="37"/>
      <c r="HP29" s="37"/>
      <c r="HQ29" s="37"/>
      <c r="HR29" s="37"/>
      <c r="HS29" s="37"/>
      <c r="HT29" s="37"/>
      <c r="HU29" s="37"/>
      <c r="HV29" s="37"/>
      <c r="HW29" s="37"/>
      <c r="HX29" s="37"/>
      <c r="HY29" s="37"/>
      <c r="HZ29" s="37"/>
      <c r="IA29" s="37"/>
      <c r="IB29" s="37"/>
      <c r="IC29" s="37"/>
      <c r="ID29" s="37"/>
      <c r="IE29" s="37"/>
      <c r="IF29" s="37"/>
      <c r="IG29" s="37"/>
      <c r="IH29" s="37"/>
      <c r="II29" s="37"/>
      <c r="IJ29" s="37"/>
      <c r="IK29" s="37"/>
      <c r="IL29" s="37"/>
      <c r="IM29" s="37"/>
      <c r="IN29" s="37"/>
      <c r="IO29" s="37"/>
      <c r="IP29" s="37"/>
      <c r="IQ29" s="37"/>
      <c r="IR29" s="37"/>
      <c r="IS29" s="37"/>
      <c r="IT29" s="37"/>
    </row>
    <row r="30" spans="1:254" ht="18.75" x14ac:dyDescent="0.3">
      <c r="A30" s="48" t="s">
        <v>274</v>
      </c>
      <c r="B30" s="44" t="s">
        <v>209</v>
      </c>
      <c r="C30" s="44" t="s">
        <v>112</v>
      </c>
      <c r="D30" s="44" t="s">
        <v>49</v>
      </c>
      <c r="E30" s="44" t="s">
        <v>50</v>
      </c>
      <c r="F30" s="45">
        <f>SUM(F31:F34)</f>
        <v>282115.40000000002</v>
      </c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  <c r="EA30" s="37"/>
      <c r="EB30" s="37"/>
      <c r="EC30" s="37"/>
      <c r="ED30" s="37"/>
      <c r="EE30" s="37"/>
      <c r="EF30" s="37"/>
      <c r="EG30" s="37"/>
      <c r="EH30" s="37"/>
      <c r="EI30" s="37"/>
      <c r="EJ30" s="37"/>
      <c r="EK30" s="37"/>
      <c r="EL30" s="37"/>
      <c r="EM30" s="37"/>
      <c r="EN30" s="37"/>
      <c r="EO30" s="37"/>
      <c r="EP30" s="37"/>
      <c r="EQ30" s="37"/>
      <c r="ER30" s="37"/>
      <c r="ES30" s="37"/>
      <c r="ET30" s="37"/>
      <c r="EU30" s="37"/>
      <c r="EV30" s="37"/>
      <c r="EW30" s="37"/>
      <c r="EX30" s="37"/>
      <c r="EY30" s="37"/>
      <c r="EZ30" s="37"/>
      <c r="FA30" s="37"/>
      <c r="FB30" s="37"/>
      <c r="FC30" s="37"/>
      <c r="FD30" s="37"/>
      <c r="FE30" s="37"/>
      <c r="FF30" s="37"/>
      <c r="FG30" s="37"/>
      <c r="FH30" s="37"/>
      <c r="FI30" s="37"/>
      <c r="FJ30" s="37"/>
      <c r="FK30" s="37"/>
      <c r="FL30" s="37"/>
      <c r="FM30" s="37"/>
      <c r="FN30" s="37"/>
      <c r="FO30" s="37"/>
      <c r="FP30" s="37"/>
      <c r="FQ30" s="37"/>
      <c r="FR30" s="37"/>
      <c r="FS30" s="37"/>
      <c r="FT30" s="37"/>
      <c r="FU30" s="37"/>
      <c r="FV30" s="37"/>
      <c r="FW30" s="37"/>
      <c r="FX30" s="37"/>
      <c r="FY30" s="37"/>
      <c r="FZ30" s="37"/>
      <c r="GA30" s="37"/>
      <c r="GB30" s="37"/>
      <c r="GC30" s="37"/>
      <c r="GD30" s="37"/>
      <c r="GE30" s="37"/>
      <c r="GF30" s="37"/>
      <c r="GG30" s="37"/>
      <c r="GH30" s="37"/>
      <c r="GI30" s="37"/>
      <c r="GJ30" s="37"/>
      <c r="GK30" s="37"/>
      <c r="GL30" s="37"/>
      <c r="GM30" s="37"/>
      <c r="GN30" s="37"/>
      <c r="GO30" s="37"/>
      <c r="GP30" s="37"/>
      <c r="GQ30" s="37"/>
      <c r="GR30" s="37"/>
      <c r="GS30" s="37"/>
      <c r="GT30" s="37"/>
      <c r="GU30" s="37"/>
      <c r="GV30" s="37"/>
      <c r="GW30" s="37"/>
      <c r="GX30" s="37"/>
      <c r="GY30" s="37"/>
      <c r="GZ30" s="37"/>
      <c r="HA30" s="37"/>
      <c r="HB30" s="37"/>
      <c r="HC30" s="37"/>
      <c r="HD30" s="37"/>
      <c r="HE30" s="37"/>
      <c r="HF30" s="37"/>
      <c r="HG30" s="37"/>
      <c r="HH30" s="37"/>
      <c r="HI30" s="37"/>
      <c r="HJ30" s="37"/>
      <c r="HK30" s="37"/>
      <c r="HL30" s="37"/>
      <c r="HM30" s="37"/>
      <c r="HN30" s="37"/>
      <c r="HO30" s="37"/>
      <c r="HP30" s="37"/>
      <c r="HQ30" s="37"/>
      <c r="HR30" s="37"/>
      <c r="HS30" s="37"/>
      <c r="HT30" s="37"/>
      <c r="HU30" s="37"/>
      <c r="HV30" s="37"/>
      <c r="HW30" s="37"/>
      <c r="HX30" s="37"/>
      <c r="HY30" s="37"/>
      <c r="HZ30" s="37"/>
      <c r="IA30" s="37"/>
      <c r="IB30" s="37"/>
      <c r="IC30" s="37"/>
      <c r="ID30" s="37"/>
      <c r="IE30" s="37"/>
      <c r="IF30" s="37"/>
      <c r="IG30" s="37"/>
      <c r="IH30" s="37"/>
      <c r="II30" s="37"/>
      <c r="IJ30" s="37"/>
      <c r="IK30" s="37"/>
      <c r="IL30" s="37"/>
      <c r="IM30" s="37"/>
      <c r="IN30" s="37"/>
      <c r="IO30" s="37"/>
      <c r="IP30" s="37"/>
      <c r="IQ30" s="37"/>
      <c r="IR30" s="37"/>
      <c r="IS30" s="37"/>
      <c r="IT30" s="37"/>
    </row>
    <row r="31" spans="1:254" ht="18.75" x14ac:dyDescent="0.3">
      <c r="A31" s="48" t="s">
        <v>275</v>
      </c>
      <c r="B31" s="44" t="s">
        <v>209</v>
      </c>
      <c r="C31" s="44" t="s">
        <v>115</v>
      </c>
      <c r="D31" s="44" t="s">
        <v>49</v>
      </c>
      <c r="E31" s="44" t="s">
        <v>50</v>
      </c>
      <c r="F31" s="45">
        <f>'В-25'!G905</f>
        <v>600</v>
      </c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  <c r="CV31" s="37"/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37"/>
      <c r="DQ31" s="37"/>
      <c r="DR31" s="37"/>
      <c r="DS31" s="37"/>
      <c r="DT31" s="37"/>
      <c r="DU31" s="37"/>
      <c r="DV31" s="37"/>
      <c r="DW31" s="37"/>
      <c r="DX31" s="37"/>
      <c r="DY31" s="37"/>
      <c r="DZ31" s="37"/>
      <c r="EA31" s="37"/>
      <c r="EB31" s="37"/>
      <c r="EC31" s="37"/>
      <c r="ED31" s="37"/>
      <c r="EE31" s="37"/>
      <c r="EF31" s="37"/>
      <c r="EG31" s="37"/>
      <c r="EH31" s="37"/>
      <c r="EI31" s="37"/>
      <c r="EJ31" s="37"/>
      <c r="EK31" s="37"/>
      <c r="EL31" s="37"/>
      <c r="EM31" s="37"/>
      <c r="EN31" s="37"/>
      <c r="EO31" s="37"/>
      <c r="EP31" s="37"/>
      <c r="EQ31" s="37"/>
      <c r="ER31" s="37"/>
      <c r="ES31" s="37"/>
      <c r="ET31" s="37"/>
      <c r="EU31" s="37"/>
      <c r="EV31" s="37"/>
      <c r="EW31" s="37"/>
      <c r="EX31" s="37"/>
      <c r="EY31" s="37"/>
      <c r="EZ31" s="37"/>
      <c r="FA31" s="37"/>
      <c r="FB31" s="37"/>
      <c r="FC31" s="37"/>
      <c r="FD31" s="37"/>
      <c r="FE31" s="37"/>
      <c r="FF31" s="37"/>
      <c r="FG31" s="37"/>
      <c r="FH31" s="37"/>
      <c r="FI31" s="37"/>
      <c r="FJ31" s="37"/>
      <c r="FK31" s="37"/>
      <c r="FL31" s="37"/>
      <c r="FM31" s="37"/>
      <c r="FN31" s="37"/>
      <c r="FO31" s="37"/>
      <c r="FP31" s="37"/>
      <c r="FQ31" s="37"/>
      <c r="FR31" s="37"/>
      <c r="FS31" s="37"/>
      <c r="FT31" s="37"/>
      <c r="FU31" s="37"/>
      <c r="FV31" s="37"/>
      <c r="FW31" s="37"/>
      <c r="FX31" s="37"/>
      <c r="FY31" s="37"/>
      <c r="FZ31" s="37"/>
      <c r="GA31" s="37"/>
      <c r="GB31" s="37"/>
      <c r="GC31" s="37"/>
      <c r="GD31" s="37"/>
      <c r="GE31" s="37"/>
      <c r="GF31" s="37"/>
      <c r="GG31" s="37"/>
      <c r="GH31" s="37"/>
      <c r="GI31" s="37"/>
      <c r="GJ31" s="37"/>
      <c r="GK31" s="37"/>
      <c r="GL31" s="37"/>
      <c r="GM31" s="37"/>
      <c r="GN31" s="37"/>
      <c r="GO31" s="37"/>
      <c r="GP31" s="37"/>
      <c r="GQ31" s="37"/>
      <c r="GR31" s="37"/>
      <c r="GS31" s="37"/>
      <c r="GT31" s="37"/>
      <c r="GU31" s="37"/>
      <c r="GV31" s="37"/>
      <c r="GW31" s="37"/>
      <c r="GX31" s="37"/>
      <c r="GY31" s="37"/>
      <c r="GZ31" s="37"/>
      <c r="HA31" s="37"/>
      <c r="HB31" s="37"/>
      <c r="HC31" s="37"/>
      <c r="HD31" s="37"/>
      <c r="HE31" s="37"/>
      <c r="HF31" s="37"/>
      <c r="HG31" s="37"/>
      <c r="HH31" s="37"/>
      <c r="HI31" s="37"/>
      <c r="HJ31" s="37"/>
      <c r="HK31" s="37"/>
      <c r="HL31" s="37"/>
      <c r="HM31" s="37"/>
      <c r="HN31" s="37"/>
      <c r="HO31" s="37"/>
      <c r="HP31" s="37"/>
      <c r="HQ31" s="37"/>
      <c r="HR31" s="37"/>
      <c r="HS31" s="37"/>
      <c r="HT31" s="37"/>
      <c r="HU31" s="37"/>
      <c r="HV31" s="37"/>
      <c r="HW31" s="37"/>
      <c r="HX31" s="37"/>
      <c r="HY31" s="37"/>
      <c r="HZ31" s="37"/>
      <c r="IA31" s="37"/>
      <c r="IB31" s="37"/>
      <c r="IC31" s="37"/>
      <c r="ID31" s="37"/>
      <c r="IE31" s="37"/>
      <c r="IF31" s="37"/>
      <c r="IG31" s="37"/>
      <c r="IH31" s="37"/>
      <c r="II31" s="37"/>
      <c r="IJ31" s="37"/>
      <c r="IK31" s="37"/>
      <c r="IL31" s="37"/>
      <c r="IM31" s="37"/>
      <c r="IN31" s="37"/>
      <c r="IO31" s="37"/>
      <c r="IP31" s="37"/>
      <c r="IQ31" s="37"/>
      <c r="IR31" s="37"/>
      <c r="IS31" s="37"/>
      <c r="IT31" s="37"/>
    </row>
    <row r="32" spans="1:254" ht="20.25" customHeight="1" x14ac:dyDescent="0.3">
      <c r="A32" s="48" t="s">
        <v>280</v>
      </c>
      <c r="B32" s="44" t="s">
        <v>209</v>
      </c>
      <c r="C32" s="44" t="s">
        <v>116</v>
      </c>
      <c r="D32" s="44" t="s">
        <v>49</v>
      </c>
      <c r="E32" s="44" t="s">
        <v>50</v>
      </c>
      <c r="F32" s="45">
        <f>'В-25'!G932</f>
        <v>120385</v>
      </c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7"/>
      <c r="CW32" s="37"/>
      <c r="CX32" s="37"/>
      <c r="CY32" s="37"/>
      <c r="CZ32" s="37"/>
      <c r="DA32" s="37"/>
      <c r="DB32" s="37"/>
      <c r="DC32" s="37"/>
      <c r="DD32" s="37"/>
      <c r="DE32" s="37"/>
      <c r="DF32" s="37"/>
      <c r="DG32" s="37"/>
      <c r="DH32" s="37"/>
      <c r="DI32" s="37"/>
      <c r="DJ32" s="37"/>
      <c r="DK32" s="37"/>
      <c r="DL32" s="37"/>
      <c r="DM32" s="37"/>
      <c r="DN32" s="37"/>
      <c r="DO32" s="37"/>
      <c r="DP32" s="37"/>
      <c r="DQ32" s="37"/>
      <c r="DR32" s="37"/>
      <c r="DS32" s="37"/>
      <c r="DT32" s="37"/>
      <c r="DU32" s="37"/>
      <c r="DV32" s="37"/>
      <c r="DW32" s="37"/>
      <c r="DX32" s="37"/>
      <c r="DY32" s="37"/>
      <c r="DZ32" s="37"/>
      <c r="EA32" s="37"/>
      <c r="EB32" s="37"/>
      <c r="EC32" s="37"/>
      <c r="ED32" s="37"/>
      <c r="EE32" s="37"/>
      <c r="EF32" s="37"/>
      <c r="EG32" s="37"/>
      <c r="EH32" s="37"/>
      <c r="EI32" s="37"/>
      <c r="EJ32" s="37"/>
      <c r="EK32" s="37"/>
      <c r="EL32" s="37"/>
      <c r="EM32" s="37"/>
      <c r="EN32" s="37"/>
      <c r="EO32" s="37"/>
      <c r="EP32" s="37"/>
      <c r="EQ32" s="37"/>
      <c r="ER32" s="37"/>
      <c r="ES32" s="37"/>
      <c r="ET32" s="37"/>
      <c r="EU32" s="37"/>
      <c r="EV32" s="37"/>
      <c r="EW32" s="37"/>
      <c r="EX32" s="37"/>
      <c r="EY32" s="37"/>
      <c r="EZ32" s="37"/>
      <c r="FA32" s="37"/>
      <c r="FB32" s="37"/>
      <c r="FC32" s="37"/>
      <c r="FD32" s="37"/>
      <c r="FE32" s="37"/>
      <c r="FF32" s="37"/>
      <c r="FG32" s="37"/>
      <c r="FH32" s="37"/>
      <c r="FI32" s="37"/>
      <c r="FJ32" s="37"/>
      <c r="FK32" s="37"/>
      <c r="FL32" s="37"/>
      <c r="FM32" s="37"/>
      <c r="FN32" s="37"/>
      <c r="FO32" s="37"/>
      <c r="FP32" s="37"/>
      <c r="FQ32" s="37"/>
      <c r="FR32" s="37"/>
      <c r="FS32" s="37"/>
      <c r="FT32" s="37"/>
      <c r="FU32" s="37"/>
      <c r="FV32" s="37"/>
      <c r="FW32" s="37"/>
      <c r="FX32" s="37"/>
      <c r="FY32" s="37"/>
      <c r="FZ32" s="37"/>
      <c r="GA32" s="37"/>
      <c r="GB32" s="37"/>
      <c r="GC32" s="37"/>
      <c r="GD32" s="37"/>
      <c r="GE32" s="37"/>
      <c r="GF32" s="37"/>
      <c r="GG32" s="37"/>
      <c r="GH32" s="37"/>
      <c r="GI32" s="37"/>
      <c r="GJ32" s="37"/>
      <c r="GK32" s="37"/>
      <c r="GL32" s="37"/>
      <c r="GM32" s="37"/>
      <c r="GN32" s="37"/>
      <c r="GO32" s="37"/>
      <c r="GP32" s="37"/>
      <c r="GQ32" s="37"/>
      <c r="GR32" s="37"/>
      <c r="GS32" s="37"/>
      <c r="GT32" s="37"/>
      <c r="GU32" s="37"/>
      <c r="GV32" s="37"/>
      <c r="GW32" s="37"/>
      <c r="GX32" s="37"/>
      <c r="GY32" s="37"/>
      <c r="GZ32" s="37"/>
      <c r="HA32" s="37"/>
      <c r="HB32" s="37"/>
      <c r="HC32" s="37"/>
      <c r="HD32" s="37"/>
      <c r="HE32" s="37"/>
      <c r="HF32" s="37"/>
      <c r="HG32" s="37"/>
      <c r="HH32" s="37"/>
      <c r="HI32" s="37"/>
      <c r="HJ32" s="37"/>
      <c r="HK32" s="37"/>
      <c r="HL32" s="37"/>
      <c r="HM32" s="37"/>
      <c r="HN32" s="37"/>
      <c r="HO32" s="37"/>
      <c r="HP32" s="37"/>
      <c r="HQ32" s="37"/>
      <c r="HR32" s="37"/>
      <c r="HS32" s="37"/>
      <c r="HT32" s="37"/>
      <c r="HU32" s="37"/>
      <c r="HV32" s="37"/>
      <c r="HW32" s="37"/>
      <c r="HX32" s="37"/>
      <c r="HY32" s="37"/>
      <c r="HZ32" s="37"/>
      <c r="IA32" s="37"/>
      <c r="IB32" s="37"/>
      <c r="IC32" s="37"/>
      <c r="ID32" s="37"/>
      <c r="IE32" s="37"/>
      <c r="IF32" s="37"/>
      <c r="IG32" s="37"/>
      <c r="IH32" s="37"/>
      <c r="II32" s="37"/>
      <c r="IJ32" s="37"/>
      <c r="IK32" s="37"/>
      <c r="IL32" s="37"/>
      <c r="IM32" s="37"/>
      <c r="IN32" s="37"/>
      <c r="IO32" s="37"/>
      <c r="IP32" s="37"/>
      <c r="IQ32" s="37"/>
      <c r="IR32" s="37"/>
      <c r="IS32" s="37"/>
      <c r="IT32" s="37"/>
    </row>
    <row r="33" spans="1:254" ht="19.5" customHeight="1" x14ac:dyDescent="0.3">
      <c r="A33" s="48" t="s">
        <v>284</v>
      </c>
      <c r="B33" s="44" t="s">
        <v>209</v>
      </c>
      <c r="C33" s="44" t="s">
        <v>117</v>
      </c>
      <c r="D33" s="44" t="s">
        <v>49</v>
      </c>
      <c r="E33" s="44" t="s">
        <v>50</v>
      </c>
      <c r="F33" s="45">
        <f>'В-25'!G968</f>
        <v>161130.4</v>
      </c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7"/>
      <c r="BZ33" s="37"/>
      <c r="CA33" s="37"/>
      <c r="CB33" s="37"/>
      <c r="CC33" s="37"/>
      <c r="CD33" s="37"/>
      <c r="CE33" s="37"/>
      <c r="CF33" s="37"/>
      <c r="CG33" s="37"/>
      <c r="CH33" s="37"/>
      <c r="CI33" s="37"/>
      <c r="CJ33" s="37"/>
      <c r="CK33" s="37"/>
      <c r="CL33" s="37"/>
      <c r="CM33" s="37"/>
      <c r="CN33" s="37"/>
      <c r="CO33" s="37"/>
      <c r="CP33" s="37"/>
      <c r="CQ33" s="37"/>
      <c r="CR33" s="37"/>
      <c r="CS33" s="37"/>
      <c r="CT33" s="37"/>
      <c r="CU33" s="37"/>
      <c r="CV33" s="37"/>
      <c r="CW33" s="37"/>
      <c r="CX33" s="37"/>
      <c r="CY33" s="37"/>
      <c r="CZ33" s="37"/>
      <c r="DA33" s="37"/>
      <c r="DB33" s="37"/>
      <c r="DC33" s="37"/>
      <c r="DD33" s="37"/>
      <c r="DE33" s="37"/>
      <c r="DF33" s="37"/>
      <c r="DG33" s="37"/>
      <c r="DH33" s="37"/>
      <c r="DI33" s="37"/>
      <c r="DJ33" s="37"/>
      <c r="DK33" s="37"/>
      <c r="DL33" s="37"/>
      <c r="DM33" s="37"/>
      <c r="DN33" s="37"/>
      <c r="DO33" s="37"/>
      <c r="DP33" s="37"/>
      <c r="DQ33" s="37"/>
      <c r="DR33" s="37"/>
      <c r="DS33" s="37"/>
      <c r="DT33" s="37"/>
      <c r="DU33" s="37"/>
      <c r="DV33" s="37"/>
      <c r="DW33" s="37"/>
      <c r="DX33" s="37"/>
      <c r="DY33" s="37"/>
      <c r="DZ33" s="37"/>
      <c r="EA33" s="37"/>
      <c r="EB33" s="37"/>
      <c r="EC33" s="37"/>
      <c r="ED33" s="37"/>
      <c r="EE33" s="37"/>
      <c r="EF33" s="37"/>
      <c r="EG33" s="37"/>
      <c r="EH33" s="37"/>
      <c r="EI33" s="37"/>
      <c r="EJ33" s="37"/>
      <c r="EK33" s="37"/>
      <c r="EL33" s="37"/>
      <c r="EM33" s="37"/>
      <c r="EN33" s="37"/>
      <c r="EO33" s="37"/>
      <c r="EP33" s="37"/>
      <c r="EQ33" s="37"/>
      <c r="ER33" s="37"/>
      <c r="ES33" s="37"/>
      <c r="ET33" s="37"/>
      <c r="EU33" s="37"/>
      <c r="EV33" s="37"/>
      <c r="EW33" s="37"/>
      <c r="EX33" s="37"/>
      <c r="EY33" s="37"/>
      <c r="EZ33" s="37"/>
      <c r="FA33" s="37"/>
      <c r="FB33" s="37"/>
      <c r="FC33" s="37"/>
      <c r="FD33" s="37"/>
      <c r="FE33" s="37"/>
      <c r="FF33" s="37"/>
      <c r="FG33" s="37"/>
      <c r="FH33" s="37"/>
      <c r="FI33" s="37"/>
      <c r="FJ33" s="37"/>
      <c r="FK33" s="37"/>
      <c r="FL33" s="37"/>
      <c r="FM33" s="37"/>
      <c r="FN33" s="37"/>
      <c r="FO33" s="37"/>
      <c r="FP33" s="37"/>
      <c r="FQ33" s="37"/>
      <c r="FR33" s="37"/>
      <c r="FS33" s="37"/>
      <c r="FT33" s="37"/>
      <c r="FU33" s="37"/>
      <c r="FV33" s="37"/>
      <c r="FW33" s="37"/>
      <c r="FX33" s="37"/>
      <c r="FY33" s="37"/>
      <c r="FZ33" s="37"/>
      <c r="GA33" s="37"/>
      <c r="GB33" s="37"/>
      <c r="GC33" s="37"/>
      <c r="GD33" s="37"/>
      <c r="GE33" s="37"/>
      <c r="GF33" s="37"/>
      <c r="GG33" s="37"/>
      <c r="GH33" s="37"/>
      <c r="GI33" s="37"/>
      <c r="GJ33" s="37"/>
      <c r="GK33" s="37"/>
      <c r="GL33" s="37"/>
      <c r="GM33" s="37"/>
      <c r="GN33" s="37"/>
      <c r="GO33" s="37"/>
      <c r="GP33" s="37"/>
      <c r="GQ33" s="37"/>
      <c r="GR33" s="37"/>
      <c r="GS33" s="37"/>
      <c r="GT33" s="37"/>
      <c r="GU33" s="37"/>
      <c r="GV33" s="37"/>
      <c r="GW33" s="37"/>
      <c r="GX33" s="37"/>
      <c r="GY33" s="37"/>
      <c r="GZ33" s="37"/>
      <c r="HA33" s="37"/>
      <c r="HB33" s="37"/>
      <c r="HC33" s="37"/>
      <c r="HD33" s="37"/>
      <c r="HE33" s="37"/>
      <c r="HF33" s="37"/>
      <c r="HG33" s="37"/>
      <c r="HH33" s="37"/>
      <c r="HI33" s="37"/>
      <c r="HJ33" s="37"/>
      <c r="HK33" s="37"/>
      <c r="HL33" s="37"/>
      <c r="HM33" s="37"/>
      <c r="HN33" s="37"/>
      <c r="HO33" s="37"/>
      <c r="HP33" s="37"/>
      <c r="HQ33" s="37"/>
      <c r="HR33" s="37"/>
      <c r="HS33" s="37"/>
      <c r="HT33" s="37"/>
      <c r="HU33" s="37"/>
      <c r="HV33" s="37"/>
      <c r="HW33" s="37"/>
      <c r="HX33" s="37"/>
      <c r="HY33" s="37"/>
      <c r="HZ33" s="37"/>
      <c r="IA33" s="37"/>
      <c r="IB33" s="37"/>
      <c r="IC33" s="37"/>
      <c r="ID33" s="37"/>
      <c r="IE33" s="37"/>
      <c r="IF33" s="37"/>
      <c r="IG33" s="37"/>
      <c r="IH33" s="37"/>
      <c r="II33" s="37"/>
      <c r="IJ33" s="37"/>
      <c r="IK33" s="37"/>
      <c r="IL33" s="37"/>
      <c r="IM33" s="37"/>
      <c r="IN33" s="37"/>
      <c r="IO33" s="37"/>
      <c r="IP33" s="37"/>
      <c r="IQ33" s="37"/>
      <c r="IR33" s="37"/>
      <c r="IS33" s="37"/>
      <c r="IT33" s="37"/>
    </row>
    <row r="34" spans="1:254" ht="42" hidden="1" customHeight="1" x14ac:dyDescent="0.3">
      <c r="A34" s="105" t="s">
        <v>567</v>
      </c>
      <c r="B34" s="44" t="s">
        <v>209</v>
      </c>
      <c r="C34" s="44" t="s">
        <v>209</v>
      </c>
      <c r="D34" s="44" t="s">
        <v>49</v>
      </c>
      <c r="E34" s="44" t="s">
        <v>50</v>
      </c>
      <c r="F34" s="45">
        <f>'В-25'!G1128</f>
        <v>0</v>
      </c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37"/>
      <c r="CQ34" s="37"/>
      <c r="CR34" s="37"/>
      <c r="CS34" s="37"/>
      <c r="CT34" s="37"/>
      <c r="CU34" s="37"/>
      <c r="CV34" s="37"/>
      <c r="CW34" s="37"/>
      <c r="CX34" s="37"/>
      <c r="CY34" s="37"/>
      <c r="CZ34" s="37"/>
      <c r="DA34" s="37"/>
      <c r="DB34" s="37"/>
      <c r="DC34" s="37"/>
      <c r="DD34" s="37"/>
      <c r="DE34" s="37"/>
      <c r="DF34" s="37"/>
      <c r="DG34" s="37"/>
      <c r="DH34" s="37"/>
      <c r="DI34" s="37"/>
      <c r="DJ34" s="37"/>
      <c r="DK34" s="37"/>
      <c r="DL34" s="37"/>
      <c r="DM34" s="37"/>
      <c r="DN34" s="37"/>
      <c r="DO34" s="37"/>
      <c r="DP34" s="37"/>
      <c r="DQ34" s="37"/>
      <c r="DR34" s="37"/>
      <c r="DS34" s="37"/>
      <c r="DT34" s="37"/>
      <c r="DU34" s="37"/>
      <c r="DV34" s="37"/>
      <c r="DW34" s="37"/>
      <c r="DX34" s="37"/>
      <c r="DY34" s="37"/>
      <c r="DZ34" s="37"/>
      <c r="EA34" s="37"/>
      <c r="EB34" s="37"/>
      <c r="EC34" s="37"/>
      <c r="ED34" s="37"/>
      <c r="EE34" s="37"/>
      <c r="EF34" s="37"/>
      <c r="EG34" s="37"/>
      <c r="EH34" s="37"/>
      <c r="EI34" s="37"/>
      <c r="EJ34" s="37"/>
      <c r="EK34" s="37"/>
      <c r="EL34" s="37"/>
      <c r="EM34" s="37"/>
      <c r="EN34" s="37"/>
      <c r="EO34" s="37"/>
      <c r="EP34" s="37"/>
      <c r="EQ34" s="37"/>
      <c r="ER34" s="37"/>
      <c r="ES34" s="37"/>
      <c r="ET34" s="37"/>
      <c r="EU34" s="37"/>
      <c r="EV34" s="37"/>
      <c r="EW34" s="37"/>
      <c r="EX34" s="37"/>
      <c r="EY34" s="37"/>
      <c r="EZ34" s="37"/>
      <c r="FA34" s="37"/>
      <c r="FB34" s="37"/>
      <c r="FC34" s="37"/>
      <c r="FD34" s="37"/>
      <c r="FE34" s="37"/>
      <c r="FF34" s="37"/>
      <c r="FG34" s="37"/>
      <c r="FH34" s="37"/>
      <c r="FI34" s="37"/>
      <c r="FJ34" s="37"/>
      <c r="FK34" s="37"/>
      <c r="FL34" s="37"/>
      <c r="FM34" s="37"/>
      <c r="FN34" s="37"/>
      <c r="FO34" s="37"/>
      <c r="FP34" s="37"/>
      <c r="FQ34" s="37"/>
      <c r="FR34" s="37"/>
      <c r="FS34" s="37"/>
      <c r="FT34" s="37"/>
      <c r="FU34" s="37"/>
      <c r="FV34" s="37"/>
      <c r="FW34" s="37"/>
      <c r="FX34" s="37"/>
      <c r="FY34" s="37"/>
      <c r="FZ34" s="37"/>
      <c r="GA34" s="37"/>
      <c r="GB34" s="37"/>
      <c r="GC34" s="37"/>
      <c r="GD34" s="37"/>
      <c r="GE34" s="37"/>
      <c r="GF34" s="37"/>
      <c r="GG34" s="37"/>
      <c r="GH34" s="37"/>
      <c r="GI34" s="37"/>
      <c r="GJ34" s="37"/>
      <c r="GK34" s="37"/>
      <c r="GL34" s="37"/>
      <c r="GM34" s="37"/>
      <c r="GN34" s="37"/>
      <c r="GO34" s="37"/>
      <c r="GP34" s="37"/>
      <c r="GQ34" s="37"/>
      <c r="GR34" s="37"/>
      <c r="GS34" s="37"/>
      <c r="GT34" s="37"/>
      <c r="GU34" s="37"/>
      <c r="GV34" s="37"/>
      <c r="GW34" s="37"/>
      <c r="GX34" s="37"/>
      <c r="GY34" s="37"/>
      <c r="GZ34" s="37"/>
      <c r="HA34" s="37"/>
      <c r="HB34" s="37"/>
      <c r="HC34" s="37"/>
      <c r="HD34" s="37"/>
      <c r="HE34" s="37"/>
      <c r="HF34" s="37"/>
      <c r="HG34" s="37"/>
      <c r="HH34" s="37"/>
      <c r="HI34" s="37"/>
      <c r="HJ34" s="37"/>
      <c r="HK34" s="37"/>
      <c r="HL34" s="37"/>
      <c r="HM34" s="37"/>
      <c r="HN34" s="37"/>
      <c r="HO34" s="37"/>
      <c r="HP34" s="37"/>
      <c r="HQ34" s="37"/>
      <c r="HR34" s="37"/>
      <c r="HS34" s="37"/>
      <c r="HT34" s="37"/>
      <c r="HU34" s="37"/>
      <c r="HV34" s="37"/>
      <c r="HW34" s="37"/>
      <c r="HX34" s="37"/>
      <c r="HY34" s="37"/>
      <c r="HZ34" s="37"/>
      <c r="IA34" s="37"/>
      <c r="IB34" s="37"/>
      <c r="IC34" s="37"/>
      <c r="ID34" s="37"/>
      <c r="IE34" s="37"/>
      <c r="IF34" s="37"/>
      <c r="IG34" s="37"/>
      <c r="IH34" s="37"/>
      <c r="II34" s="37"/>
      <c r="IJ34" s="37"/>
      <c r="IK34" s="37"/>
      <c r="IL34" s="37"/>
      <c r="IM34" s="37"/>
      <c r="IN34" s="37"/>
      <c r="IO34" s="37"/>
      <c r="IP34" s="37"/>
      <c r="IQ34" s="37"/>
      <c r="IR34" s="37"/>
      <c r="IS34" s="37"/>
      <c r="IT34" s="37"/>
    </row>
    <row r="35" spans="1:254" ht="17.25" customHeight="1" x14ac:dyDescent="0.3">
      <c r="A35" s="48" t="s">
        <v>293</v>
      </c>
      <c r="B35" s="44" t="s">
        <v>119</v>
      </c>
      <c r="C35" s="44" t="s">
        <v>112</v>
      </c>
      <c r="D35" s="44" t="s">
        <v>49</v>
      </c>
      <c r="E35" s="44" t="s">
        <v>50</v>
      </c>
      <c r="F35" s="45">
        <f>F36+F37</f>
        <v>205</v>
      </c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  <c r="EA35" s="37"/>
      <c r="EB35" s="37"/>
      <c r="EC35" s="37"/>
      <c r="ED35" s="37"/>
      <c r="EE35" s="37"/>
      <c r="EF35" s="37"/>
      <c r="EG35" s="37"/>
      <c r="EH35" s="37"/>
      <c r="EI35" s="37"/>
      <c r="EJ35" s="37"/>
      <c r="EK35" s="37"/>
      <c r="EL35" s="37"/>
      <c r="EM35" s="37"/>
      <c r="EN35" s="37"/>
      <c r="EO35" s="37"/>
      <c r="EP35" s="37"/>
      <c r="EQ35" s="37"/>
      <c r="ER35" s="37"/>
      <c r="ES35" s="37"/>
      <c r="ET35" s="37"/>
      <c r="EU35" s="37"/>
      <c r="EV35" s="37"/>
      <c r="EW35" s="37"/>
      <c r="EX35" s="37"/>
      <c r="EY35" s="37"/>
      <c r="EZ35" s="37"/>
      <c r="FA35" s="37"/>
      <c r="FB35" s="37"/>
      <c r="FC35" s="37"/>
      <c r="FD35" s="37"/>
      <c r="FE35" s="37"/>
      <c r="FF35" s="37"/>
      <c r="FG35" s="37"/>
      <c r="FH35" s="37"/>
      <c r="FI35" s="37"/>
      <c r="FJ35" s="37"/>
      <c r="FK35" s="37"/>
      <c r="FL35" s="37"/>
      <c r="FM35" s="37"/>
      <c r="FN35" s="37"/>
      <c r="FO35" s="37"/>
      <c r="FP35" s="37"/>
      <c r="FQ35" s="37"/>
      <c r="FR35" s="37"/>
      <c r="FS35" s="37"/>
      <c r="FT35" s="37"/>
      <c r="FU35" s="37"/>
      <c r="FV35" s="37"/>
      <c r="FW35" s="37"/>
      <c r="FX35" s="37"/>
      <c r="FY35" s="37"/>
      <c r="FZ35" s="37"/>
      <c r="GA35" s="37"/>
      <c r="GB35" s="37"/>
      <c r="GC35" s="37"/>
      <c r="GD35" s="37"/>
      <c r="GE35" s="37"/>
      <c r="GF35" s="37"/>
      <c r="GG35" s="37"/>
      <c r="GH35" s="37"/>
      <c r="GI35" s="37"/>
      <c r="GJ35" s="37"/>
      <c r="GK35" s="37"/>
      <c r="GL35" s="37"/>
      <c r="GM35" s="37"/>
      <c r="GN35" s="37"/>
      <c r="GO35" s="37"/>
      <c r="GP35" s="37"/>
      <c r="GQ35" s="37"/>
      <c r="GR35" s="37"/>
      <c r="GS35" s="37"/>
      <c r="GT35" s="37"/>
      <c r="GU35" s="37"/>
      <c r="GV35" s="37"/>
      <c r="GW35" s="37"/>
      <c r="GX35" s="37"/>
      <c r="GY35" s="37"/>
      <c r="GZ35" s="37"/>
      <c r="HA35" s="37"/>
      <c r="HB35" s="37"/>
      <c r="HC35" s="37"/>
      <c r="HD35" s="37"/>
      <c r="HE35" s="37"/>
      <c r="HF35" s="37"/>
      <c r="HG35" s="37"/>
      <c r="HH35" s="37"/>
      <c r="HI35" s="37"/>
      <c r="HJ35" s="37"/>
      <c r="HK35" s="37"/>
      <c r="HL35" s="37"/>
      <c r="HM35" s="37"/>
      <c r="HN35" s="37"/>
      <c r="HO35" s="37"/>
      <c r="HP35" s="37"/>
      <c r="HQ35" s="37"/>
      <c r="HR35" s="37"/>
      <c r="HS35" s="37"/>
      <c r="HT35" s="37"/>
      <c r="HU35" s="37"/>
      <c r="HV35" s="37"/>
      <c r="HW35" s="37"/>
      <c r="HX35" s="37"/>
      <c r="HY35" s="37"/>
      <c r="HZ35" s="37"/>
      <c r="IA35" s="37"/>
      <c r="IB35" s="37"/>
      <c r="IC35" s="37"/>
      <c r="ID35" s="37"/>
      <c r="IE35" s="37"/>
      <c r="IF35" s="37"/>
      <c r="IG35" s="37"/>
      <c r="IH35" s="37"/>
      <c r="II35" s="37"/>
      <c r="IJ35" s="37"/>
      <c r="IK35" s="37"/>
      <c r="IL35" s="37"/>
      <c r="IM35" s="37"/>
      <c r="IN35" s="37"/>
      <c r="IO35" s="37"/>
      <c r="IP35" s="37"/>
      <c r="IQ35" s="37"/>
      <c r="IR35" s="37"/>
      <c r="IS35" s="37"/>
      <c r="IT35" s="37"/>
    </row>
    <row r="36" spans="1:254" ht="36.75" customHeight="1" x14ac:dyDescent="0.3">
      <c r="A36" s="48" t="s">
        <v>294</v>
      </c>
      <c r="B36" s="44" t="s">
        <v>119</v>
      </c>
      <c r="C36" s="44" t="s">
        <v>117</v>
      </c>
      <c r="D36" s="44" t="s">
        <v>49</v>
      </c>
      <c r="E36" s="44" t="s">
        <v>50</v>
      </c>
      <c r="F36" s="45">
        <f>'В-25'!G1138</f>
        <v>205</v>
      </c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7"/>
      <c r="BZ36" s="37"/>
      <c r="CA36" s="37"/>
      <c r="CB36" s="37"/>
      <c r="CC36" s="37"/>
      <c r="CD36" s="37"/>
      <c r="CE36" s="37"/>
      <c r="CF36" s="37"/>
      <c r="CG36" s="37"/>
      <c r="CH36" s="37"/>
      <c r="CI36" s="37"/>
      <c r="CJ36" s="37"/>
      <c r="CK36" s="37"/>
      <c r="CL36" s="37"/>
      <c r="CM36" s="37"/>
      <c r="CN36" s="37"/>
      <c r="CO36" s="37"/>
      <c r="CP36" s="37"/>
      <c r="CQ36" s="37"/>
      <c r="CR36" s="37"/>
      <c r="CS36" s="37"/>
      <c r="CT36" s="37"/>
      <c r="CU36" s="37"/>
      <c r="CV36" s="37"/>
      <c r="CW36" s="37"/>
      <c r="CX36" s="37"/>
      <c r="CY36" s="37"/>
      <c r="CZ36" s="37"/>
      <c r="DA36" s="37"/>
      <c r="DB36" s="37"/>
      <c r="DC36" s="37"/>
      <c r="DD36" s="37"/>
      <c r="DE36" s="37"/>
      <c r="DF36" s="37"/>
      <c r="DG36" s="37"/>
      <c r="DH36" s="37"/>
      <c r="DI36" s="37"/>
      <c r="DJ36" s="37"/>
      <c r="DK36" s="37"/>
      <c r="DL36" s="37"/>
      <c r="DM36" s="37"/>
      <c r="DN36" s="37"/>
      <c r="DO36" s="37"/>
      <c r="DP36" s="37"/>
      <c r="DQ36" s="37"/>
      <c r="DR36" s="37"/>
      <c r="DS36" s="37"/>
      <c r="DT36" s="37"/>
      <c r="DU36" s="37"/>
      <c r="DV36" s="37"/>
      <c r="DW36" s="37"/>
      <c r="DX36" s="37"/>
      <c r="DY36" s="37"/>
      <c r="DZ36" s="37"/>
      <c r="EA36" s="37"/>
      <c r="EB36" s="37"/>
      <c r="EC36" s="37"/>
      <c r="ED36" s="37"/>
      <c r="EE36" s="37"/>
      <c r="EF36" s="37"/>
      <c r="EG36" s="37"/>
      <c r="EH36" s="37"/>
      <c r="EI36" s="37"/>
      <c r="EJ36" s="37"/>
      <c r="EK36" s="37"/>
      <c r="EL36" s="37"/>
      <c r="EM36" s="37"/>
      <c r="EN36" s="37"/>
      <c r="EO36" s="37"/>
      <c r="EP36" s="37"/>
      <c r="EQ36" s="37"/>
      <c r="ER36" s="37"/>
      <c r="ES36" s="37"/>
      <c r="ET36" s="37"/>
      <c r="EU36" s="37"/>
      <c r="EV36" s="37"/>
      <c r="EW36" s="37"/>
      <c r="EX36" s="37"/>
      <c r="EY36" s="37"/>
      <c r="EZ36" s="37"/>
      <c r="FA36" s="37"/>
      <c r="FB36" s="37"/>
      <c r="FC36" s="37"/>
      <c r="FD36" s="37"/>
      <c r="FE36" s="37"/>
      <c r="FF36" s="37"/>
      <c r="FG36" s="37"/>
      <c r="FH36" s="37"/>
      <c r="FI36" s="37"/>
      <c r="FJ36" s="37"/>
      <c r="FK36" s="37"/>
      <c r="FL36" s="37"/>
      <c r="FM36" s="37"/>
      <c r="FN36" s="37"/>
      <c r="FO36" s="37"/>
      <c r="FP36" s="37"/>
      <c r="FQ36" s="37"/>
      <c r="FR36" s="37"/>
      <c r="FS36" s="37"/>
      <c r="FT36" s="37"/>
      <c r="FU36" s="37"/>
      <c r="FV36" s="37"/>
      <c r="FW36" s="37"/>
      <c r="FX36" s="37"/>
      <c r="FY36" s="37"/>
      <c r="FZ36" s="37"/>
      <c r="GA36" s="37"/>
      <c r="GB36" s="37"/>
      <c r="GC36" s="37"/>
      <c r="GD36" s="37"/>
      <c r="GE36" s="37"/>
      <c r="GF36" s="37"/>
      <c r="GG36" s="37"/>
      <c r="GH36" s="37"/>
      <c r="GI36" s="37"/>
      <c r="GJ36" s="37"/>
      <c r="GK36" s="37"/>
      <c r="GL36" s="37"/>
      <c r="GM36" s="37"/>
      <c r="GN36" s="37"/>
      <c r="GO36" s="37"/>
      <c r="GP36" s="37"/>
      <c r="GQ36" s="37"/>
      <c r="GR36" s="37"/>
      <c r="GS36" s="37"/>
      <c r="GT36" s="37"/>
      <c r="GU36" s="37"/>
      <c r="GV36" s="37"/>
      <c r="GW36" s="37"/>
      <c r="GX36" s="37"/>
      <c r="GY36" s="37"/>
      <c r="GZ36" s="37"/>
      <c r="HA36" s="37"/>
      <c r="HB36" s="37"/>
      <c r="HC36" s="37"/>
      <c r="HD36" s="37"/>
      <c r="HE36" s="37"/>
      <c r="HF36" s="37"/>
      <c r="HG36" s="37"/>
      <c r="HH36" s="37"/>
      <c r="HI36" s="37"/>
      <c r="HJ36" s="37"/>
      <c r="HK36" s="37"/>
      <c r="HL36" s="37"/>
      <c r="HM36" s="37"/>
      <c r="HN36" s="37"/>
      <c r="HO36" s="37"/>
      <c r="HP36" s="37"/>
      <c r="HQ36" s="37"/>
      <c r="HR36" s="37"/>
      <c r="HS36" s="37"/>
      <c r="HT36" s="37"/>
      <c r="HU36" s="37"/>
      <c r="HV36" s="37"/>
      <c r="HW36" s="37"/>
      <c r="HX36" s="37"/>
      <c r="HY36" s="37"/>
      <c r="HZ36" s="37"/>
      <c r="IA36" s="37"/>
      <c r="IB36" s="37"/>
      <c r="IC36" s="37"/>
      <c r="ID36" s="37"/>
      <c r="IE36" s="37"/>
      <c r="IF36" s="37"/>
      <c r="IG36" s="37"/>
      <c r="IH36" s="37"/>
      <c r="II36" s="37"/>
      <c r="IJ36" s="37"/>
      <c r="IK36" s="37"/>
      <c r="IL36" s="37"/>
      <c r="IM36" s="37"/>
      <c r="IN36" s="37"/>
      <c r="IO36" s="37"/>
      <c r="IP36" s="37"/>
      <c r="IQ36" s="37"/>
      <c r="IR36" s="37"/>
      <c r="IS36" s="37"/>
      <c r="IT36" s="37"/>
    </row>
    <row r="37" spans="1:254" ht="36.75" hidden="1" customHeight="1" x14ac:dyDescent="0.3">
      <c r="A37" s="48" t="s">
        <v>295</v>
      </c>
      <c r="B37" s="44" t="s">
        <v>119</v>
      </c>
      <c r="C37" s="44" t="s">
        <v>209</v>
      </c>
      <c r="D37" s="44" t="s">
        <v>49</v>
      </c>
      <c r="E37" s="44" t="s">
        <v>50</v>
      </c>
      <c r="F37" s="45">
        <f>'В-25'!G1144</f>
        <v>0</v>
      </c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7"/>
      <c r="BZ37" s="37"/>
      <c r="CA37" s="37"/>
      <c r="CB37" s="37"/>
      <c r="CC37" s="37"/>
      <c r="CD37" s="37"/>
      <c r="CE37" s="37"/>
      <c r="CF37" s="37"/>
      <c r="CG37" s="37"/>
      <c r="CH37" s="37"/>
      <c r="CI37" s="37"/>
      <c r="CJ37" s="37"/>
      <c r="CK37" s="37"/>
      <c r="CL37" s="37"/>
      <c r="CM37" s="37"/>
      <c r="CN37" s="37"/>
      <c r="CO37" s="37"/>
      <c r="CP37" s="37"/>
      <c r="CQ37" s="37"/>
      <c r="CR37" s="37"/>
      <c r="CS37" s="37"/>
      <c r="CT37" s="37"/>
      <c r="CU37" s="37"/>
      <c r="CV37" s="37"/>
      <c r="CW37" s="37"/>
      <c r="CX37" s="37"/>
      <c r="CY37" s="37"/>
      <c r="CZ37" s="37"/>
      <c r="DA37" s="37"/>
      <c r="DB37" s="37"/>
      <c r="DC37" s="37"/>
      <c r="DD37" s="37"/>
      <c r="DE37" s="37"/>
      <c r="DF37" s="37"/>
      <c r="DG37" s="37"/>
      <c r="DH37" s="37"/>
      <c r="DI37" s="37"/>
      <c r="DJ37" s="37"/>
      <c r="DK37" s="37"/>
      <c r="DL37" s="37"/>
      <c r="DM37" s="37"/>
      <c r="DN37" s="37"/>
      <c r="DO37" s="37"/>
      <c r="DP37" s="37"/>
      <c r="DQ37" s="37"/>
      <c r="DR37" s="37"/>
      <c r="DS37" s="37"/>
      <c r="DT37" s="37"/>
      <c r="DU37" s="37"/>
      <c r="DV37" s="37"/>
      <c r="DW37" s="37"/>
      <c r="DX37" s="37"/>
      <c r="DY37" s="37"/>
      <c r="DZ37" s="37"/>
      <c r="EA37" s="37"/>
      <c r="EB37" s="37"/>
      <c r="EC37" s="37"/>
      <c r="ED37" s="37"/>
      <c r="EE37" s="37"/>
      <c r="EF37" s="37"/>
      <c r="EG37" s="37"/>
      <c r="EH37" s="37"/>
      <c r="EI37" s="37"/>
      <c r="EJ37" s="37"/>
      <c r="EK37" s="37"/>
      <c r="EL37" s="37"/>
      <c r="EM37" s="37"/>
      <c r="EN37" s="37"/>
      <c r="EO37" s="37"/>
      <c r="EP37" s="37"/>
      <c r="EQ37" s="37"/>
      <c r="ER37" s="37"/>
      <c r="ES37" s="37"/>
      <c r="ET37" s="37"/>
      <c r="EU37" s="37"/>
      <c r="EV37" s="37"/>
      <c r="EW37" s="37"/>
      <c r="EX37" s="37"/>
      <c r="EY37" s="37"/>
      <c r="EZ37" s="37"/>
      <c r="FA37" s="37"/>
      <c r="FB37" s="37"/>
      <c r="FC37" s="37"/>
      <c r="FD37" s="37"/>
      <c r="FE37" s="37"/>
      <c r="FF37" s="37"/>
      <c r="FG37" s="37"/>
      <c r="FH37" s="37"/>
      <c r="FI37" s="37"/>
      <c r="FJ37" s="37"/>
      <c r="FK37" s="37"/>
      <c r="FL37" s="37"/>
      <c r="FM37" s="37"/>
      <c r="FN37" s="37"/>
      <c r="FO37" s="37"/>
      <c r="FP37" s="37"/>
      <c r="FQ37" s="37"/>
      <c r="FR37" s="37"/>
      <c r="FS37" s="37"/>
      <c r="FT37" s="37"/>
      <c r="FU37" s="37"/>
      <c r="FV37" s="37"/>
      <c r="FW37" s="37"/>
      <c r="FX37" s="37"/>
      <c r="FY37" s="37"/>
      <c r="FZ37" s="37"/>
      <c r="GA37" s="37"/>
      <c r="GB37" s="37"/>
      <c r="GC37" s="37"/>
      <c r="GD37" s="37"/>
      <c r="GE37" s="37"/>
      <c r="GF37" s="37"/>
      <c r="GG37" s="37"/>
      <c r="GH37" s="37"/>
      <c r="GI37" s="37"/>
      <c r="GJ37" s="37"/>
      <c r="GK37" s="37"/>
      <c r="GL37" s="37"/>
      <c r="GM37" s="37"/>
      <c r="GN37" s="37"/>
      <c r="GO37" s="37"/>
      <c r="GP37" s="37"/>
      <c r="GQ37" s="37"/>
      <c r="GR37" s="37"/>
      <c r="GS37" s="37"/>
      <c r="GT37" s="37"/>
      <c r="GU37" s="37"/>
      <c r="GV37" s="37"/>
      <c r="GW37" s="37"/>
      <c r="GX37" s="37"/>
      <c r="GY37" s="37"/>
      <c r="GZ37" s="37"/>
      <c r="HA37" s="37"/>
      <c r="HB37" s="37"/>
      <c r="HC37" s="37"/>
      <c r="HD37" s="37"/>
      <c r="HE37" s="37"/>
      <c r="HF37" s="37"/>
      <c r="HG37" s="37"/>
      <c r="HH37" s="37"/>
      <c r="HI37" s="37"/>
      <c r="HJ37" s="37"/>
      <c r="HK37" s="37"/>
      <c r="HL37" s="37"/>
      <c r="HM37" s="37"/>
      <c r="HN37" s="37"/>
      <c r="HO37" s="37"/>
      <c r="HP37" s="37"/>
      <c r="HQ37" s="37"/>
      <c r="HR37" s="37"/>
      <c r="HS37" s="37"/>
      <c r="HT37" s="37"/>
      <c r="HU37" s="37"/>
      <c r="HV37" s="37"/>
      <c r="HW37" s="37"/>
      <c r="HX37" s="37"/>
      <c r="HY37" s="37"/>
      <c r="HZ37" s="37"/>
      <c r="IA37" s="37"/>
      <c r="IB37" s="37"/>
      <c r="IC37" s="37"/>
      <c r="ID37" s="37"/>
      <c r="IE37" s="37"/>
      <c r="IF37" s="37"/>
      <c r="IG37" s="37"/>
      <c r="IH37" s="37"/>
      <c r="II37" s="37"/>
      <c r="IJ37" s="37"/>
      <c r="IK37" s="37"/>
      <c r="IL37" s="37"/>
      <c r="IM37" s="37"/>
      <c r="IN37" s="37"/>
      <c r="IO37" s="37"/>
      <c r="IP37" s="37"/>
      <c r="IQ37" s="37"/>
      <c r="IR37" s="37"/>
      <c r="IS37" s="37"/>
      <c r="IT37" s="37"/>
    </row>
    <row r="38" spans="1:254" ht="18.75" x14ac:dyDescent="0.3">
      <c r="A38" s="48" t="s">
        <v>122</v>
      </c>
      <c r="B38" s="44" t="s">
        <v>123</v>
      </c>
      <c r="C38" s="44" t="s">
        <v>112</v>
      </c>
      <c r="D38" s="44" t="s">
        <v>49</v>
      </c>
      <c r="E38" s="44" t="s">
        <v>50</v>
      </c>
      <c r="F38" s="45">
        <f>SUM(F39:F45)</f>
        <v>823003.62</v>
      </c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7"/>
      <c r="BZ38" s="37"/>
      <c r="CA38" s="37"/>
      <c r="CB38" s="37"/>
      <c r="CC38" s="37"/>
      <c r="CD38" s="37"/>
      <c r="CE38" s="37"/>
      <c r="CF38" s="37"/>
      <c r="CG38" s="37"/>
      <c r="CH38" s="37"/>
      <c r="CI38" s="37"/>
      <c r="CJ38" s="37"/>
      <c r="CK38" s="37"/>
      <c r="CL38" s="37"/>
      <c r="CM38" s="37"/>
      <c r="CN38" s="37"/>
      <c r="CO38" s="37"/>
      <c r="CP38" s="37"/>
      <c r="CQ38" s="37"/>
      <c r="CR38" s="37"/>
      <c r="CS38" s="37"/>
      <c r="CT38" s="37"/>
      <c r="CU38" s="37"/>
      <c r="CV38" s="37"/>
      <c r="CW38" s="37"/>
      <c r="CX38" s="37"/>
      <c r="CY38" s="37"/>
      <c r="CZ38" s="37"/>
      <c r="DA38" s="37"/>
      <c r="DB38" s="37"/>
      <c r="DC38" s="37"/>
      <c r="DD38" s="37"/>
      <c r="DE38" s="37"/>
      <c r="DF38" s="37"/>
      <c r="DG38" s="37"/>
      <c r="DH38" s="37"/>
      <c r="DI38" s="37"/>
      <c r="DJ38" s="37"/>
      <c r="DK38" s="37"/>
      <c r="DL38" s="37"/>
      <c r="DM38" s="37"/>
      <c r="DN38" s="37"/>
      <c r="DO38" s="37"/>
      <c r="DP38" s="37"/>
      <c r="DQ38" s="37"/>
      <c r="DR38" s="37"/>
      <c r="DS38" s="37"/>
      <c r="DT38" s="37"/>
      <c r="DU38" s="37"/>
      <c r="DV38" s="37"/>
      <c r="DW38" s="37"/>
      <c r="DX38" s="37"/>
      <c r="DY38" s="37"/>
      <c r="DZ38" s="37"/>
      <c r="EA38" s="37"/>
      <c r="EB38" s="37"/>
      <c r="EC38" s="37"/>
      <c r="ED38" s="37"/>
      <c r="EE38" s="37"/>
      <c r="EF38" s="37"/>
      <c r="EG38" s="37"/>
      <c r="EH38" s="37"/>
      <c r="EI38" s="37"/>
      <c r="EJ38" s="37"/>
      <c r="EK38" s="37"/>
      <c r="EL38" s="37"/>
      <c r="EM38" s="37"/>
      <c r="EN38" s="37"/>
      <c r="EO38" s="37"/>
      <c r="EP38" s="37"/>
      <c r="EQ38" s="37"/>
      <c r="ER38" s="37"/>
      <c r="ES38" s="37"/>
      <c r="ET38" s="37"/>
      <c r="EU38" s="37"/>
      <c r="EV38" s="37"/>
      <c r="EW38" s="37"/>
      <c r="EX38" s="37"/>
      <c r="EY38" s="37"/>
      <c r="EZ38" s="37"/>
      <c r="FA38" s="37"/>
      <c r="FB38" s="37"/>
      <c r="FC38" s="37"/>
      <c r="FD38" s="37"/>
      <c r="FE38" s="37"/>
      <c r="FF38" s="37"/>
      <c r="FG38" s="37"/>
      <c r="FH38" s="37"/>
      <c r="FI38" s="37"/>
      <c r="FJ38" s="37"/>
      <c r="FK38" s="37"/>
      <c r="FL38" s="37"/>
      <c r="FM38" s="37"/>
      <c r="FN38" s="37"/>
      <c r="FO38" s="37"/>
      <c r="FP38" s="37"/>
      <c r="FQ38" s="37"/>
      <c r="FR38" s="37"/>
      <c r="FS38" s="37"/>
      <c r="FT38" s="37"/>
      <c r="FU38" s="37"/>
      <c r="FV38" s="37"/>
      <c r="FW38" s="37"/>
      <c r="FX38" s="37"/>
      <c r="FY38" s="37"/>
      <c r="FZ38" s="37"/>
      <c r="GA38" s="37"/>
      <c r="GB38" s="37"/>
      <c r="GC38" s="37"/>
      <c r="GD38" s="37"/>
      <c r="GE38" s="37"/>
      <c r="GF38" s="37"/>
      <c r="GG38" s="37"/>
      <c r="GH38" s="37"/>
      <c r="GI38" s="37"/>
      <c r="GJ38" s="37"/>
      <c r="GK38" s="37"/>
      <c r="GL38" s="37"/>
      <c r="GM38" s="37"/>
      <c r="GN38" s="37"/>
      <c r="GO38" s="37"/>
      <c r="GP38" s="37"/>
      <c r="GQ38" s="37"/>
      <c r="GR38" s="37"/>
      <c r="GS38" s="37"/>
      <c r="GT38" s="37"/>
      <c r="GU38" s="37"/>
      <c r="GV38" s="37"/>
      <c r="GW38" s="37"/>
      <c r="GX38" s="37"/>
      <c r="GY38" s="37"/>
      <c r="GZ38" s="37"/>
      <c r="HA38" s="37"/>
      <c r="HB38" s="37"/>
      <c r="HC38" s="37"/>
      <c r="HD38" s="37"/>
      <c r="HE38" s="37"/>
      <c r="HF38" s="37"/>
      <c r="HG38" s="37"/>
      <c r="HH38" s="37"/>
      <c r="HI38" s="37"/>
      <c r="HJ38" s="37"/>
      <c r="HK38" s="37"/>
      <c r="HL38" s="37"/>
      <c r="HM38" s="37"/>
      <c r="HN38" s="37"/>
      <c r="HO38" s="37"/>
      <c r="HP38" s="37"/>
      <c r="HQ38" s="37"/>
      <c r="HR38" s="37"/>
      <c r="HS38" s="37"/>
      <c r="HT38" s="37"/>
      <c r="HU38" s="37"/>
      <c r="HV38" s="37"/>
      <c r="HW38" s="37"/>
      <c r="HX38" s="37"/>
      <c r="HY38" s="37"/>
      <c r="HZ38" s="37"/>
      <c r="IA38" s="37"/>
      <c r="IB38" s="37"/>
      <c r="IC38" s="37"/>
      <c r="ID38" s="37"/>
      <c r="IE38" s="37"/>
      <c r="IF38" s="37"/>
      <c r="IG38" s="37"/>
      <c r="IH38" s="37"/>
      <c r="II38" s="37"/>
      <c r="IJ38" s="37"/>
      <c r="IK38" s="37"/>
      <c r="IL38" s="37"/>
      <c r="IM38" s="37"/>
      <c r="IN38" s="37"/>
      <c r="IO38" s="37"/>
      <c r="IP38" s="37"/>
      <c r="IQ38" s="37"/>
      <c r="IR38" s="37"/>
      <c r="IS38" s="37"/>
      <c r="IT38" s="37"/>
    </row>
    <row r="39" spans="1:254" ht="18.75" x14ac:dyDescent="0.3">
      <c r="A39" s="48" t="s">
        <v>124</v>
      </c>
      <c r="B39" s="44" t="s">
        <v>123</v>
      </c>
      <c r="C39" s="92" t="s">
        <v>115</v>
      </c>
      <c r="D39" s="44" t="s">
        <v>49</v>
      </c>
      <c r="E39" s="44" t="s">
        <v>50</v>
      </c>
      <c r="F39" s="45">
        <f>'В-25'!G39</f>
        <v>373469.6</v>
      </c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  <c r="BH39" s="37"/>
      <c r="BI39" s="3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7"/>
      <c r="BZ39" s="37"/>
      <c r="CA39" s="37"/>
      <c r="CB39" s="37"/>
      <c r="CC39" s="37"/>
      <c r="CD39" s="37"/>
      <c r="CE39" s="37"/>
      <c r="CF39" s="37"/>
      <c r="CG39" s="37"/>
      <c r="CH39" s="37"/>
      <c r="CI39" s="37"/>
      <c r="CJ39" s="37"/>
      <c r="CK39" s="37"/>
      <c r="CL39" s="37"/>
      <c r="CM39" s="37"/>
      <c r="CN39" s="37"/>
      <c r="CO39" s="37"/>
      <c r="CP39" s="37"/>
      <c r="CQ39" s="37"/>
      <c r="CR39" s="37"/>
      <c r="CS39" s="37"/>
      <c r="CT39" s="37"/>
      <c r="CU39" s="37"/>
      <c r="CV39" s="37"/>
      <c r="CW39" s="37"/>
      <c r="CX39" s="37"/>
      <c r="CY39" s="37"/>
      <c r="CZ39" s="37"/>
      <c r="DA39" s="37"/>
      <c r="DB39" s="37"/>
      <c r="DC39" s="37"/>
      <c r="DD39" s="37"/>
      <c r="DE39" s="37"/>
      <c r="DF39" s="37"/>
      <c r="DG39" s="37"/>
      <c r="DH39" s="37"/>
      <c r="DI39" s="37"/>
      <c r="DJ39" s="37"/>
      <c r="DK39" s="37"/>
      <c r="DL39" s="37"/>
      <c r="DM39" s="37"/>
      <c r="DN39" s="37"/>
      <c r="DO39" s="37"/>
      <c r="DP39" s="37"/>
      <c r="DQ39" s="37"/>
      <c r="DR39" s="37"/>
      <c r="DS39" s="37"/>
      <c r="DT39" s="37"/>
      <c r="DU39" s="37"/>
      <c r="DV39" s="37"/>
      <c r="DW39" s="37"/>
      <c r="DX39" s="37"/>
      <c r="DY39" s="37"/>
      <c r="DZ39" s="37"/>
      <c r="EA39" s="37"/>
      <c r="EB39" s="37"/>
      <c r="EC39" s="37"/>
      <c r="ED39" s="37"/>
      <c r="EE39" s="37"/>
      <c r="EF39" s="37"/>
      <c r="EG39" s="37"/>
      <c r="EH39" s="37"/>
      <c r="EI39" s="37"/>
      <c r="EJ39" s="37"/>
      <c r="EK39" s="37"/>
      <c r="EL39" s="37"/>
      <c r="EM39" s="37"/>
      <c r="EN39" s="37"/>
      <c r="EO39" s="37"/>
      <c r="EP39" s="37"/>
      <c r="EQ39" s="37"/>
      <c r="ER39" s="37"/>
      <c r="ES39" s="37"/>
      <c r="ET39" s="37"/>
      <c r="EU39" s="37"/>
      <c r="EV39" s="37"/>
      <c r="EW39" s="37"/>
      <c r="EX39" s="37"/>
      <c r="EY39" s="37"/>
      <c r="EZ39" s="37"/>
      <c r="FA39" s="37"/>
      <c r="FB39" s="37"/>
      <c r="FC39" s="37"/>
      <c r="FD39" s="37"/>
      <c r="FE39" s="37"/>
      <c r="FF39" s="37"/>
      <c r="FG39" s="37"/>
      <c r="FH39" s="37"/>
      <c r="FI39" s="37"/>
      <c r="FJ39" s="37"/>
      <c r="FK39" s="37"/>
      <c r="FL39" s="37"/>
      <c r="FM39" s="37"/>
      <c r="FN39" s="37"/>
      <c r="FO39" s="37"/>
      <c r="FP39" s="37"/>
      <c r="FQ39" s="37"/>
      <c r="FR39" s="37"/>
      <c r="FS39" s="37"/>
      <c r="FT39" s="37"/>
      <c r="FU39" s="37"/>
      <c r="FV39" s="37"/>
      <c r="FW39" s="37"/>
      <c r="FX39" s="37"/>
      <c r="FY39" s="37"/>
      <c r="FZ39" s="37"/>
      <c r="GA39" s="37"/>
      <c r="GB39" s="37"/>
      <c r="GC39" s="37"/>
      <c r="GD39" s="37"/>
      <c r="GE39" s="37"/>
      <c r="GF39" s="37"/>
      <c r="GG39" s="37"/>
      <c r="GH39" s="37"/>
      <c r="GI39" s="37"/>
      <c r="GJ39" s="37"/>
      <c r="GK39" s="37"/>
      <c r="GL39" s="37"/>
      <c r="GM39" s="37"/>
      <c r="GN39" s="37"/>
      <c r="GO39" s="37"/>
      <c r="GP39" s="37"/>
      <c r="GQ39" s="37"/>
      <c r="GR39" s="37"/>
      <c r="GS39" s="37"/>
      <c r="GT39" s="37"/>
      <c r="GU39" s="37"/>
      <c r="GV39" s="37"/>
      <c r="GW39" s="37"/>
      <c r="GX39" s="37"/>
      <c r="GY39" s="37"/>
      <c r="GZ39" s="37"/>
      <c r="HA39" s="37"/>
      <c r="HB39" s="37"/>
      <c r="HC39" s="37"/>
      <c r="HD39" s="37"/>
      <c r="HE39" s="37"/>
      <c r="HF39" s="37"/>
      <c r="HG39" s="37"/>
      <c r="HH39" s="37"/>
      <c r="HI39" s="37"/>
      <c r="HJ39" s="37"/>
      <c r="HK39" s="37"/>
      <c r="HL39" s="37"/>
      <c r="HM39" s="37"/>
      <c r="HN39" s="37"/>
      <c r="HO39" s="37"/>
      <c r="HP39" s="37"/>
      <c r="HQ39" s="37"/>
      <c r="HR39" s="37"/>
      <c r="HS39" s="37"/>
      <c r="HT39" s="37"/>
      <c r="HU39" s="37"/>
      <c r="HV39" s="37"/>
      <c r="HW39" s="37"/>
      <c r="HX39" s="37"/>
      <c r="HY39" s="37"/>
      <c r="HZ39" s="37"/>
      <c r="IA39" s="37"/>
      <c r="IB39" s="37"/>
      <c r="IC39" s="37"/>
      <c r="ID39" s="37"/>
      <c r="IE39" s="37"/>
      <c r="IF39" s="37"/>
      <c r="IG39" s="37"/>
      <c r="IH39" s="37"/>
      <c r="II39" s="37"/>
      <c r="IJ39" s="37"/>
      <c r="IK39" s="37"/>
      <c r="IL39" s="37"/>
      <c r="IM39" s="37"/>
      <c r="IN39" s="37"/>
      <c r="IO39" s="37"/>
      <c r="IP39" s="37"/>
      <c r="IQ39" s="37"/>
      <c r="IR39" s="37"/>
      <c r="IS39" s="37"/>
      <c r="IT39" s="37"/>
    </row>
    <row r="40" spans="1:254" ht="18.75" x14ac:dyDescent="0.3">
      <c r="A40" s="48" t="s">
        <v>125</v>
      </c>
      <c r="B40" s="44" t="s">
        <v>123</v>
      </c>
      <c r="C40" s="92" t="s">
        <v>116</v>
      </c>
      <c r="D40" s="44" t="s">
        <v>49</v>
      </c>
      <c r="E40" s="44" t="s">
        <v>50</v>
      </c>
      <c r="F40" s="45">
        <f>'В-25'!G83+'В-25'!G1164</f>
        <v>390113.00000000006</v>
      </c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7"/>
      <c r="BZ40" s="37"/>
      <c r="CA40" s="37"/>
      <c r="CB40" s="37"/>
      <c r="CC40" s="37"/>
      <c r="CD40" s="37"/>
      <c r="CE40" s="37"/>
      <c r="CF40" s="37"/>
      <c r="CG40" s="37"/>
      <c r="CH40" s="37"/>
      <c r="CI40" s="37"/>
      <c r="CJ40" s="37"/>
      <c r="CK40" s="37"/>
      <c r="CL40" s="37"/>
      <c r="CM40" s="37"/>
      <c r="CN40" s="37"/>
      <c r="CO40" s="37"/>
      <c r="CP40" s="37"/>
      <c r="CQ40" s="37"/>
      <c r="CR40" s="37"/>
      <c r="CS40" s="37"/>
      <c r="CT40" s="37"/>
      <c r="CU40" s="37"/>
      <c r="CV40" s="37"/>
      <c r="CW40" s="37"/>
      <c r="CX40" s="37"/>
      <c r="CY40" s="37"/>
      <c r="CZ40" s="37"/>
      <c r="DA40" s="37"/>
      <c r="DB40" s="37"/>
      <c r="DC40" s="37"/>
      <c r="DD40" s="37"/>
      <c r="DE40" s="37"/>
      <c r="DF40" s="37"/>
      <c r="DG40" s="37"/>
      <c r="DH40" s="37"/>
      <c r="DI40" s="37"/>
      <c r="DJ40" s="37"/>
      <c r="DK40" s="37"/>
      <c r="DL40" s="37"/>
      <c r="DM40" s="37"/>
      <c r="DN40" s="37"/>
      <c r="DO40" s="37"/>
      <c r="DP40" s="37"/>
      <c r="DQ40" s="37"/>
      <c r="DR40" s="37"/>
      <c r="DS40" s="37"/>
      <c r="DT40" s="37"/>
      <c r="DU40" s="37"/>
      <c r="DV40" s="37"/>
      <c r="DW40" s="37"/>
      <c r="DX40" s="37"/>
      <c r="DY40" s="37"/>
      <c r="DZ40" s="37"/>
      <c r="EA40" s="37"/>
      <c r="EB40" s="37"/>
      <c r="EC40" s="37"/>
      <c r="ED40" s="37"/>
      <c r="EE40" s="37"/>
      <c r="EF40" s="37"/>
      <c r="EG40" s="37"/>
      <c r="EH40" s="37"/>
      <c r="EI40" s="37"/>
      <c r="EJ40" s="37"/>
      <c r="EK40" s="37"/>
      <c r="EL40" s="37"/>
      <c r="EM40" s="37"/>
      <c r="EN40" s="37"/>
      <c r="EO40" s="37"/>
      <c r="EP40" s="37"/>
      <c r="EQ40" s="37"/>
      <c r="ER40" s="37"/>
      <c r="ES40" s="37"/>
      <c r="ET40" s="37"/>
      <c r="EU40" s="37"/>
      <c r="EV40" s="37"/>
      <c r="EW40" s="37"/>
      <c r="EX40" s="37"/>
      <c r="EY40" s="37"/>
      <c r="EZ40" s="37"/>
      <c r="FA40" s="37"/>
      <c r="FB40" s="37"/>
      <c r="FC40" s="37"/>
      <c r="FD40" s="37"/>
      <c r="FE40" s="37"/>
      <c r="FF40" s="37"/>
      <c r="FG40" s="37"/>
      <c r="FH40" s="37"/>
      <c r="FI40" s="37"/>
      <c r="FJ40" s="37"/>
      <c r="FK40" s="37"/>
      <c r="FL40" s="37"/>
      <c r="FM40" s="37"/>
      <c r="FN40" s="37"/>
      <c r="FO40" s="37"/>
      <c r="FP40" s="37"/>
      <c r="FQ40" s="37"/>
      <c r="FR40" s="37"/>
      <c r="FS40" s="37"/>
      <c r="FT40" s="37"/>
      <c r="FU40" s="37"/>
      <c r="FV40" s="37"/>
      <c r="FW40" s="37"/>
      <c r="FX40" s="37"/>
      <c r="FY40" s="37"/>
      <c r="FZ40" s="37"/>
      <c r="GA40" s="37"/>
      <c r="GB40" s="37"/>
      <c r="GC40" s="37"/>
      <c r="GD40" s="37"/>
      <c r="GE40" s="37"/>
      <c r="GF40" s="37"/>
      <c r="GG40" s="37"/>
      <c r="GH40" s="37"/>
      <c r="GI40" s="37"/>
      <c r="GJ40" s="37"/>
      <c r="GK40" s="37"/>
      <c r="GL40" s="37"/>
      <c r="GM40" s="37"/>
      <c r="GN40" s="37"/>
      <c r="GO40" s="37"/>
      <c r="GP40" s="37"/>
      <c r="GQ40" s="37"/>
      <c r="GR40" s="37"/>
      <c r="GS40" s="37"/>
      <c r="GT40" s="37"/>
      <c r="GU40" s="37"/>
      <c r="GV40" s="37"/>
      <c r="GW40" s="37"/>
      <c r="GX40" s="37"/>
      <c r="GY40" s="37"/>
      <c r="GZ40" s="37"/>
      <c r="HA40" s="37"/>
      <c r="HB40" s="37"/>
      <c r="HC40" s="37"/>
      <c r="HD40" s="37"/>
      <c r="HE40" s="37"/>
      <c r="HF40" s="37"/>
      <c r="HG40" s="37"/>
      <c r="HH40" s="37"/>
      <c r="HI40" s="37"/>
      <c r="HJ40" s="37"/>
      <c r="HK40" s="37"/>
      <c r="HL40" s="37"/>
      <c r="HM40" s="37"/>
      <c r="HN40" s="37"/>
      <c r="HO40" s="37"/>
      <c r="HP40" s="37"/>
      <c r="HQ40" s="37"/>
      <c r="HR40" s="37"/>
      <c r="HS40" s="37"/>
      <c r="HT40" s="37"/>
      <c r="HU40" s="37"/>
      <c r="HV40" s="37"/>
      <c r="HW40" s="37"/>
      <c r="HX40" s="37"/>
      <c r="HY40" s="37"/>
      <c r="HZ40" s="37"/>
      <c r="IA40" s="37"/>
      <c r="IB40" s="37"/>
      <c r="IC40" s="37"/>
      <c r="ID40" s="37"/>
      <c r="IE40" s="37"/>
      <c r="IF40" s="37"/>
      <c r="IG40" s="37"/>
      <c r="IH40" s="37"/>
      <c r="II40" s="37"/>
      <c r="IJ40" s="37"/>
      <c r="IK40" s="37"/>
      <c r="IL40" s="37"/>
      <c r="IM40" s="37"/>
      <c r="IN40" s="37"/>
      <c r="IO40" s="37"/>
      <c r="IP40" s="37"/>
      <c r="IQ40" s="37"/>
      <c r="IR40" s="37"/>
      <c r="IS40" s="37"/>
      <c r="IT40" s="37"/>
    </row>
    <row r="41" spans="1:254" ht="18.75" x14ac:dyDescent="0.3">
      <c r="A41" s="52" t="s">
        <v>126</v>
      </c>
      <c r="B41" s="44" t="s">
        <v>123</v>
      </c>
      <c r="C41" s="92" t="s">
        <v>117</v>
      </c>
      <c r="D41" s="44" t="s">
        <v>49</v>
      </c>
      <c r="E41" s="44" t="s">
        <v>50</v>
      </c>
      <c r="F41" s="45">
        <f>'В-25'!G1181+'В-25'!G179</f>
        <v>33222.5</v>
      </c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7"/>
      <c r="BL41" s="37"/>
      <c r="BM41" s="37"/>
      <c r="BN41" s="37"/>
      <c r="BO41" s="37"/>
      <c r="BP41" s="37"/>
      <c r="BQ41" s="37"/>
      <c r="BR41" s="37"/>
      <c r="BS41" s="37"/>
      <c r="BT41" s="37"/>
      <c r="BU41" s="37"/>
      <c r="BV41" s="37"/>
      <c r="BW41" s="37"/>
      <c r="BX41" s="37"/>
      <c r="BY41" s="37"/>
      <c r="BZ41" s="37"/>
      <c r="CA41" s="37"/>
      <c r="CB41" s="37"/>
      <c r="CC41" s="37"/>
      <c r="CD41" s="37"/>
      <c r="CE41" s="37"/>
      <c r="CF41" s="37"/>
      <c r="CG41" s="37"/>
      <c r="CH41" s="37"/>
      <c r="CI41" s="37"/>
      <c r="CJ41" s="37"/>
      <c r="CK41" s="37"/>
      <c r="CL41" s="37"/>
      <c r="CM41" s="37"/>
      <c r="CN41" s="37"/>
      <c r="CO41" s="37"/>
      <c r="CP41" s="37"/>
      <c r="CQ41" s="37"/>
      <c r="CR41" s="37"/>
      <c r="CS41" s="37"/>
      <c r="CT41" s="37"/>
      <c r="CU41" s="37"/>
      <c r="CV41" s="37"/>
      <c r="CW41" s="37"/>
      <c r="CX41" s="37"/>
      <c r="CY41" s="37"/>
      <c r="CZ41" s="37"/>
      <c r="DA41" s="37"/>
      <c r="DB41" s="37"/>
      <c r="DC41" s="37"/>
      <c r="DD41" s="37"/>
      <c r="DE41" s="37"/>
      <c r="DF41" s="37"/>
      <c r="DG41" s="37"/>
      <c r="DH41" s="37"/>
      <c r="DI41" s="37"/>
      <c r="DJ41" s="37"/>
      <c r="DK41" s="37"/>
      <c r="DL41" s="37"/>
      <c r="DM41" s="37"/>
      <c r="DN41" s="37"/>
      <c r="DO41" s="37"/>
      <c r="DP41" s="37"/>
      <c r="DQ41" s="37"/>
      <c r="DR41" s="37"/>
      <c r="DS41" s="37"/>
      <c r="DT41" s="37"/>
      <c r="DU41" s="37"/>
      <c r="DV41" s="37"/>
      <c r="DW41" s="37"/>
      <c r="DX41" s="37"/>
      <c r="DY41" s="37"/>
      <c r="DZ41" s="37"/>
      <c r="EA41" s="37"/>
      <c r="EB41" s="37"/>
      <c r="EC41" s="37"/>
      <c r="ED41" s="37"/>
      <c r="EE41" s="37"/>
      <c r="EF41" s="37"/>
      <c r="EG41" s="37"/>
      <c r="EH41" s="37"/>
      <c r="EI41" s="37"/>
      <c r="EJ41" s="37"/>
      <c r="EK41" s="37"/>
      <c r="EL41" s="37"/>
      <c r="EM41" s="37"/>
      <c r="EN41" s="37"/>
      <c r="EO41" s="37"/>
      <c r="EP41" s="37"/>
      <c r="EQ41" s="37"/>
      <c r="ER41" s="37"/>
      <c r="ES41" s="37"/>
      <c r="ET41" s="37"/>
      <c r="EU41" s="37"/>
      <c r="EV41" s="37"/>
      <c r="EW41" s="37"/>
      <c r="EX41" s="37"/>
      <c r="EY41" s="37"/>
      <c r="EZ41" s="37"/>
      <c r="FA41" s="37"/>
      <c r="FB41" s="37"/>
      <c r="FC41" s="37"/>
      <c r="FD41" s="37"/>
      <c r="FE41" s="37"/>
      <c r="FF41" s="37"/>
      <c r="FG41" s="37"/>
      <c r="FH41" s="37"/>
      <c r="FI41" s="37"/>
      <c r="FJ41" s="37"/>
      <c r="FK41" s="37"/>
      <c r="FL41" s="37"/>
      <c r="FM41" s="37"/>
      <c r="FN41" s="37"/>
      <c r="FO41" s="37"/>
      <c r="FP41" s="37"/>
      <c r="FQ41" s="37"/>
      <c r="FR41" s="37"/>
      <c r="FS41" s="37"/>
      <c r="FT41" s="37"/>
      <c r="FU41" s="37"/>
      <c r="FV41" s="37"/>
      <c r="FW41" s="37"/>
      <c r="FX41" s="37"/>
      <c r="FY41" s="37"/>
      <c r="FZ41" s="37"/>
      <c r="GA41" s="37"/>
      <c r="GB41" s="37"/>
      <c r="GC41" s="37"/>
      <c r="GD41" s="37"/>
      <c r="GE41" s="37"/>
      <c r="GF41" s="37"/>
      <c r="GG41" s="37"/>
      <c r="GH41" s="37"/>
      <c r="GI41" s="37"/>
      <c r="GJ41" s="37"/>
      <c r="GK41" s="37"/>
      <c r="GL41" s="37"/>
      <c r="GM41" s="37"/>
      <c r="GN41" s="37"/>
      <c r="GO41" s="37"/>
      <c r="GP41" s="37"/>
      <c r="GQ41" s="37"/>
      <c r="GR41" s="37"/>
      <c r="GS41" s="37"/>
      <c r="GT41" s="37"/>
      <c r="GU41" s="37"/>
      <c r="GV41" s="37"/>
      <c r="GW41" s="37"/>
      <c r="GX41" s="37"/>
      <c r="GY41" s="37"/>
      <c r="GZ41" s="37"/>
      <c r="HA41" s="37"/>
      <c r="HB41" s="37"/>
      <c r="HC41" s="37"/>
      <c r="HD41" s="37"/>
      <c r="HE41" s="37"/>
      <c r="HF41" s="37"/>
      <c r="HG41" s="37"/>
      <c r="HH41" s="37"/>
      <c r="HI41" s="37"/>
      <c r="HJ41" s="37"/>
      <c r="HK41" s="37"/>
      <c r="HL41" s="37"/>
      <c r="HM41" s="37"/>
      <c r="HN41" s="37"/>
      <c r="HO41" s="37"/>
      <c r="HP41" s="37"/>
      <c r="HQ41" s="37"/>
      <c r="HR41" s="37"/>
      <c r="HS41" s="37"/>
      <c r="HT41" s="37"/>
      <c r="HU41" s="37"/>
      <c r="HV41" s="37"/>
      <c r="HW41" s="37"/>
      <c r="HX41" s="37"/>
      <c r="HY41" s="37"/>
      <c r="HZ41" s="37"/>
      <c r="IA41" s="37"/>
      <c r="IB41" s="37"/>
      <c r="IC41" s="37"/>
      <c r="ID41" s="37"/>
      <c r="IE41" s="37"/>
      <c r="IF41" s="37"/>
      <c r="IG41" s="37"/>
      <c r="IH41" s="37"/>
      <c r="II41" s="37"/>
      <c r="IJ41" s="37"/>
      <c r="IK41" s="37"/>
      <c r="IL41" s="37"/>
      <c r="IM41" s="37"/>
      <c r="IN41" s="37"/>
      <c r="IO41" s="37"/>
      <c r="IP41" s="37"/>
      <c r="IQ41" s="37"/>
      <c r="IR41" s="37"/>
      <c r="IS41" s="37"/>
      <c r="IT41" s="37"/>
    </row>
    <row r="42" spans="1:254" s="54" customFormat="1" ht="30.75" hidden="1" customHeight="1" x14ac:dyDescent="0.3">
      <c r="A42" s="53" t="s">
        <v>344</v>
      </c>
      <c r="B42" s="44" t="s">
        <v>123</v>
      </c>
      <c r="C42" s="92" t="s">
        <v>209</v>
      </c>
      <c r="D42" s="44" t="s">
        <v>49</v>
      </c>
      <c r="E42" s="44" t="s">
        <v>50</v>
      </c>
      <c r="F42" s="46"/>
    </row>
    <row r="43" spans="1:254" s="54" customFormat="1" ht="37.5" customHeight="1" x14ac:dyDescent="0.3">
      <c r="A43" s="53" t="s">
        <v>344</v>
      </c>
      <c r="B43" s="44" t="s">
        <v>123</v>
      </c>
      <c r="C43" s="92" t="s">
        <v>209</v>
      </c>
      <c r="D43" s="44" t="s">
        <v>49</v>
      </c>
      <c r="E43" s="44" t="s">
        <v>50</v>
      </c>
      <c r="F43" s="46">
        <f>'В-25'!G408+'В-25'!G1217</f>
        <v>88.22</v>
      </c>
    </row>
    <row r="44" spans="1:254" ht="18.75" x14ac:dyDescent="0.3">
      <c r="A44" s="48" t="s">
        <v>147</v>
      </c>
      <c r="B44" s="44" t="s">
        <v>123</v>
      </c>
      <c r="C44" s="92" t="s">
        <v>123</v>
      </c>
      <c r="D44" s="44" t="s">
        <v>49</v>
      </c>
      <c r="E44" s="44" t="s">
        <v>50</v>
      </c>
      <c r="F44" s="45">
        <f>'В-25'!G1246+'В-25'!G228+'В-25'!G437</f>
        <v>6206.7000000000007</v>
      </c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  <c r="BF44" s="37"/>
      <c r="BG44" s="37"/>
      <c r="BH44" s="37"/>
      <c r="BI44" s="37"/>
      <c r="BJ44" s="37"/>
      <c r="BK44" s="37"/>
      <c r="BL44" s="37"/>
      <c r="BM44" s="37"/>
      <c r="BN44" s="37"/>
      <c r="BO44" s="37"/>
      <c r="BP44" s="37"/>
      <c r="BQ44" s="37"/>
      <c r="BR44" s="37"/>
      <c r="BS44" s="37"/>
      <c r="BT44" s="37"/>
      <c r="BU44" s="37"/>
      <c r="BV44" s="37"/>
      <c r="BW44" s="37"/>
      <c r="BX44" s="37"/>
      <c r="BY44" s="37"/>
      <c r="BZ44" s="37"/>
      <c r="CA44" s="37"/>
      <c r="CB44" s="37"/>
      <c r="CC44" s="37"/>
      <c r="CD44" s="37"/>
      <c r="CE44" s="37"/>
      <c r="CF44" s="37"/>
      <c r="CG44" s="37"/>
      <c r="CH44" s="37"/>
      <c r="CI44" s="37"/>
      <c r="CJ44" s="37"/>
      <c r="CK44" s="37"/>
      <c r="CL44" s="37"/>
      <c r="CM44" s="37"/>
      <c r="CN44" s="37"/>
      <c r="CO44" s="37"/>
      <c r="CP44" s="37"/>
      <c r="CQ44" s="37"/>
      <c r="CR44" s="37"/>
      <c r="CS44" s="37"/>
      <c r="CT44" s="37"/>
      <c r="CU44" s="37"/>
      <c r="CV44" s="37"/>
      <c r="CW44" s="37"/>
      <c r="CX44" s="37"/>
      <c r="CY44" s="37"/>
      <c r="CZ44" s="37"/>
      <c r="DA44" s="37"/>
      <c r="DB44" s="37"/>
      <c r="DC44" s="37"/>
      <c r="DD44" s="37"/>
      <c r="DE44" s="37"/>
      <c r="DF44" s="37"/>
      <c r="DG44" s="37"/>
      <c r="DH44" s="37"/>
      <c r="DI44" s="37"/>
      <c r="DJ44" s="37"/>
      <c r="DK44" s="37"/>
      <c r="DL44" s="37"/>
      <c r="DM44" s="37"/>
      <c r="DN44" s="37"/>
      <c r="DO44" s="37"/>
      <c r="DP44" s="37"/>
      <c r="DQ44" s="37"/>
      <c r="DR44" s="37"/>
      <c r="DS44" s="37"/>
      <c r="DT44" s="37"/>
      <c r="DU44" s="37"/>
      <c r="DV44" s="37"/>
      <c r="DW44" s="37"/>
      <c r="DX44" s="37"/>
      <c r="DY44" s="37"/>
      <c r="DZ44" s="37"/>
      <c r="EA44" s="37"/>
      <c r="EB44" s="37"/>
      <c r="EC44" s="37"/>
      <c r="ED44" s="37"/>
      <c r="EE44" s="37"/>
      <c r="EF44" s="37"/>
      <c r="EG44" s="37"/>
      <c r="EH44" s="37"/>
      <c r="EI44" s="37"/>
      <c r="EJ44" s="37"/>
      <c r="EK44" s="37"/>
      <c r="EL44" s="37"/>
      <c r="EM44" s="37"/>
      <c r="EN44" s="37"/>
      <c r="EO44" s="37"/>
      <c r="EP44" s="37"/>
      <c r="EQ44" s="37"/>
      <c r="ER44" s="37"/>
      <c r="ES44" s="37"/>
      <c r="ET44" s="37"/>
      <c r="EU44" s="37"/>
      <c r="EV44" s="37"/>
      <c r="EW44" s="37"/>
      <c r="EX44" s="37"/>
      <c r="EY44" s="37"/>
      <c r="EZ44" s="37"/>
      <c r="FA44" s="37"/>
      <c r="FB44" s="37"/>
      <c r="FC44" s="37"/>
      <c r="FD44" s="37"/>
      <c r="FE44" s="37"/>
      <c r="FF44" s="37"/>
      <c r="FG44" s="37"/>
      <c r="FH44" s="37"/>
      <c r="FI44" s="37"/>
      <c r="FJ44" s="37"/>
      <c r="FK44" s="37"/>
      <c r="FL44" s="37"/>
      <c r="FM44" s="37"/>
      <c r="FN44" s="37"/>
      <c r="FO44" s="37"/>
      <c r="FP44" s="37"/>
      <c r="FQ44" s="37"/>
      <c r="FR44" s="37"/>
      <c r="FS44" s="37"/>
      <c r="FT44" s="37"/>
      <c r="FU44" s="37"/>
      <c r="FV44" s="37"/>
      <c r="FW44" s="37"/>
      <c r="FX44" s="37"/>
      <c r="FY44" s="37"/>
      <c r="FZ44" s="37"/>
      <c r="GA44" s="37"/>
      <c r="GB44" s="37"/>
      <c r="GC44" s="37"/>
      <c r="GD44" s="37"/>
      <c r="GE44" s="37"/>
      <c r="GF44" s="37"/>
      <c r="GG44" s="37"/>
      <c r="GH44" s="37"/>
      <c r="GI44" s="37"/>
      <c r="GJ44" s="37"/>
      <c r="GK44" s="37"/>
      <c r="GL44" s="37"/>
      <c r="GM44" s="37"/>
      <c r="GN44" s="37"/>
      <c r="GO44" s="37"/>
      <c r="GP44" s="37"/>
      <c r="GQ44" s="37"/>
      <c r="GR44" s="37"/>
      <c r="GS44" s="37"/>
      <c r="GT44" s="37"/>
      <c r="GU44" s="37"/>
      <c r="GV44" s="37"/>
      <c r="GW44" s="37"/>
      <c r="GX44" s="37"/>
      <c r="GY44" s="37"/>
      <c r="GZ44" s="37"/>
      <c r="HA44" s="37"/>
      <c r="HB44" s="37"/>
      <c r="HC44" s="37"/>
      <c r="HD44" s="37"/>
      <c r="HE44" s="37"/>
      <c r="HF44" s="37"/>
      <c r="HG44" s="37"/>
      <c r="HH44" s="37"/>
      <c r="HI44" s="37"/>
      <c r="HJ44" s="37"/>
      <c r="HK44" s="37"/>
      <c r="HL44" s="37"/>
      <c r="HM44" s="37"/>
      <c r="HN44" s="37"/>
      <c r="HO44" s="37"/>
      <c r="HP44" s="37"/>
      <c r="HQ44" s="37"/>
      <c r="HR44" s="37"/>
      <c r="HS44" s="37"/>
      <c r="HT44" s="37"/>
      <c r="HU44" s="37"/>
      <c r="HV44" s="37"/>
      <c r="HW44" s="37"/>
      <c r="HX44" s="37"/>
      <c r="HY44" s="37"/>
      <c r="HZ44" s="37"/>
      <c r="IA44" s="37"/>
      <c r="IB44" s="37"/>
      <c r="IC44" s="37"/>
      <c r="ID44" s="37"/>
      <c r="IE44" s="37"/>
      <c r="IF44" s="37"/>
      <c r="IG44" s="37"/>
      <c r="IH44" s="37"/>
      <c r="II44" s="37"/>
      <c r="IJ44" s="37"/>
      <c r="IK44" s="37"/>
      <c r="IL44" s="37"/>
      <c r="IM44" s="37"/>
      <c r="IN44" s="37"/>
      <c r="IO44" s="37"/>
      <c r="IP44" s="37"/>
      <c r="IQ44" s="37"/>
      <c r="IR44" s="37"/>
      <c r="IS44" s="37"/>
      <c r="IT44" s="37"/>
    </row>
    <row r="45" spans="1:254" ht="18.75" x14ac:dyDescent="0.3">
      <c r="A45" s="48" t="s">
        <v>127</v>
      </c>
      <c r="B45" s="44" t="s">
        <v>123</v>
      </c>
      <c r="C45" s="92" t="s">
        <v>128</v>
      </c>
      <c r="D45" s="44" t="s">
        <v>49</v>
      </c>
      <c r="E45" s="44" t="s">
        <v>50</v>
      </c>
      <c r="F45" s="45">
        <f>'В-25'!G286</f>
        <v>19903.599999999999</v>
      </c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BJ45" s="37"/>
      <c r="BK45" s="37"/>
      <c r="BL45" s="37"/>
      <c r="BM45" s="37"/>
      <c r="BN45" s="37"/>
      <c r="BO45" s="37"/>
      <c r="BP45" s="37"/>
      <c r="BQ45" s="37"/>
      <c r="BR45" s="37"/>
      <c r="BS45" s="37"/>
      <c r="BT45" s="37"/>
      <c r="BU45" s="37"/>
      <c r="BV45" s="37"/>
      <c r="BW45" s="37"/>
      <c r="BX45" s="37"/>
      <c r="BY45" s="37"/>
      <c r="BZ45" s="37"/>
      <c r="CA45" s="37"/>
      <c r="CB45" s="37"/>
      <c r="CC45" s="37"/>
      <c r="CD45" s="37"/>
      <c r="CE45" s="37"/>
      <c r="CF45" s="37"/>
      <c r="CG45" s="37"/>
      <c r="CH45" s="37"/>
      <c r="CI45" s="37"/>
      <c r="CJ45" s="37"/>
      <c r="CK45" s="37"/>
      <c r="CL45" s="37"/>
      <c r="CM45" s="37"/>
      <c r="CN45" s="37"/>
      <c r="CO45" s="37"/>
      <c r="CP45" s="37"/>
      <c r="CQ45" s="37"/>
      <c r="CR45" s="37"/>
      <c r="CS45" s="37"/>
      <c r="CT45" s="37"/>
      <c r="CU45" s="37"/>
      <c r="CV45" s="37"/>
      <c r="CW45" s="37"/>
      <c r="CX45" s="37"/>
      <c r="CY45" s="37"/>
      <c r="CZ45" s="37"/>
      <c r="DA45" s="37"/>
      <c r="DB45" s="37"/>
      <c r="DC45" s="37"/>
      <c r="DD45" s="37"/>
      <c r="DE45" s="37"/>
      <c r="DF45" s="37"/>
      <c r="DG45" s="37"/>
      <c r="DH45" s="37"/>
      <c r="DI45" s="37"/>
      <c r="DJ45" s="37"/>
      <c r="DK45" s="37"/>
      <c r="DL45" s="37"/>
      <c r="DM45" s="37"/>
      <c r="DN45" s="37"/>
      <c r="DO45" s="37"/>
      <c r="DP45" s="37"/>
      <c r="DQ45" s="37"/>
      <c r="DR45" s="37"/>
      <c r="DS45" s="37"/>
      <c r="DT45" s="37"/>
      <c r="DU45" s="37"/>
      <c r="DV45" s="37"/>
      <c r="DW45" s="37"/>
      <c r="DX45" s="37"/>
      <c r="DY45" s="37"/>
      <c r="DZ45" s="37"/>
      <c r="EA45" s="37"/>
      <c r="EB45" s="37"/>
      <c r="EC45" s="37"/>
      <c r="ED45" s="37"/>
      <c r="EE45" s="37"/>
      <c r="EF45" s="37"/>
      <c r="EG45" s="37"/>
      <c r="EH45" s="37"/>
      <c r="EI45" s="37"/>
      <c r="EJ45" s="37"/>
      <c r="EK45" s="37"/>
      <c r="EL45" s="37"/>
      <c r="EM45" s="37"/>
      <c r="EN45" s="37"/>
      <c r="EO45" s="37"/>
      <c r="EP45" s="37"/>
      <c r="EQ45" s="37"/>
      <c r="ER45" s="37"/>
      <c r="ES45" s="37"/>
      <c r="ET45" s="37"/>
      <c r="EU45" s="37"/>
      <c r="EV45" s="37"/>
      <c r="EW45" s="37"/>
      <c r="EX45" s="37"/>
      <c r="EY45" s="37"/>
      <c r="EZ45" s="37"/>
      <c r="FA45" s="37"/>
      <c r="FB45" s="37"/>
      <c r="FC45" s="37"/>
      <c r="FD45" s="37"/>
      <c r="FE45" s="37"/>
      <c r="FF45" s="37"/>
      <c r="FG45" s="37"/>
      <c r="FH45" s="37"/>
      <c r="FI45" s="37"/>
      <c r="FJ45" s="37"/>
      <c r="FK45" s="37"/>
      <c r="FL45" s="37"/>
      <c r="FM45" s="37"/>
      <c r="FN45" s="37"/>
      <c r="FO45" s="37"/>
      <c r="FP45" s="37"/>
      <c r="FQ45" s="37"/>
      <c r="FR45" s="37"/>
      <c r="FS45" s="37"/>
      <c r="FT45" s="37"/>
      <c r="FU45" s="37"/>
      <c r="FV45" s="37"/>
      <c r="FW45" s="37"/>
      <c r="FX45" s="37"/>
      <c r="FY45" s="37"/>
      <c r="FZ45" s="37"/>
      <c r="GA45" s="37"/>
      <c r="GB45" s="37"/>
      <c r="GC45" s="37"/>
      <c r="GD45" s="37"/>
      <c r="GE45" s="37"/>
      <c r="GF45" s="37"/>
      <c r="GG45" s="37"/>
      <c r="GH45" s="37"/>
      <c r="GI45" s="37"/>
      <c r="GJ45" s="37"/>
      <c r="GK45" s="37"/>
      <c r="GL45" s="37"/>
      <c r="GM45" s="37"/>
      <c r="GN45" s="37"/>
      <c r="GO45" s="37"/>
      <c r="GP45" s="37"/>
      <c r="GQ45" s="37"/>
      <c r="GR45" s="37"/>
      <c r="GS45" s="37"/>
      <c r="GT45" s="37"/>
      <c r="GU45" s="37"/>
      <c r="GV45" s="37"/>
      <c r="GW45" s="37"/>
      <c r="GX45" s="37"/>
      <c r="GY45" s="37"/>
      <c r="GZ45" s="37"/>
      <c r="HA45" s="37"/>
      <c r="HB45" s="37"/>
      <c r="HC45" s="37"/>
      <c r="HD45" s="37"/>
      <c r="HE45" s="37"/>
      <c r="HF45" s="37"/>
      <c r="HG45" s="37"/>
      <c r="HH45" s="37"/>
      <c r="HI45" s="37"/>
      <c r="HJ45" s="37"/>
      <c r="HK45" s="37"/>
      <c r="HL45" s="37"/>
      <c r="HM45" s="37"/>
      <c r="HN45" s="37"/>
      <c r="HO45" s="37"/>
      <c r="HP45" s="37"/>
      <c r="HQ45" s="37"/>
      <c r="HR45" s="37"/>
      <c r="HS45" s="37"/>
      <c r="HT45" s="37"/>
      <c r="HU45" s="37"/>
      <c r="HV45" s="37"/>
      <c r="HW45" s="37"/>
      <c r="HX45" s="37"/>
      <c r="HY45" s="37"/>
      <c r="HZ45" s="37"/>
      <c r="IA45" s="37"/>
      <c r="IB45" s="37"/>
      <c r="IC45" s="37"/>
      <c r="ID45" s="37"/>
      <c r="IE45" s="37"/>
      <c r="IF45" s="37"/>
      <c r="IG45" s="37"/>
      <c r="IH45" s="37"/>
      <c r="II45" s="37"/>
      <c r="IJ45" s="37"/>
      <c r="IK45" s="37"/>
      <c r="IL45" s="37"/>
      <c r="IM45" s="37"/>
      <c r="IN45" s="37"/>
      <c r="IO45" s="37"/>
      <c r="IP45" s="37"/>
      <c r="IQ45" s="37"/>
      <c r="IR45" s="37"/>
      <c r="IS45" s="37"/>
      <c r="IT45" s="37"/>
    </row>
    <row r="46" spans="1:254" ht="18.75" x14ac:dyDescent="0.3">
      <c r="A46" s="48" t="s">
        <v>129</v>
      </c>
      <c r="B46" s="92" t="s">
        <v>130</v>
      </c>
      <c r="C46" s="92" t="s">
        <v>112</v>
      </c>
      <c r="D46" s="44" t="s">
        <v>49</v>
      </c>
      <c r="E46" s="44" t="s">
        <v>50</v>
      </c>
      <c r="F46" s="45">
        <f>F47+F48</f>
        <v>104102.7</v>
      </c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7"/>
      <c r="BZ46" s="37"/>
      <c r="CA46" s="37"/>
      <c r="CB46" s="37"/>
      <c r="CC46" s="37"/>
      <c r="CD46" s="37"/>
      <c r="CE46" s="37"/>
      <c r="CF46" s="37"/>
      <c r="CG46" s="37"/>
      <c r="CH46" s="37"/>
      <c r="CI46" s="37"/>
      <c r="CJ46" s="37"/>
      <c r="CK46" s="37"/>
      <c r="CL46" s="37"/>
      <c r="CM46" s="37"/>
      <c r="CN46" s="37"/>
      <c r="CO46" s="37"/>
      <c r="CP46" s="37"/>
      <c r="CQ46" s="37"/>
      <c r="CR46" s="37"/>
      <c r="CS46" s="37"/>
      <c r="CT46" s="37"/>
      <c r="CU46" s="37"/>
      <c r="CV46" s="37"/>
      <c r="CW46" s="37"/>
      <c r="CX46" s="37"/>
      <c r="CY46" s="37"/>
      <c r="CZ46" s="37"/>
      <c r="DA46" s="37"/>
      <c r="DB46" s="37"/>
      <c r="DC46" s="37"/>
      <c r="DD46" s="37"/>
      <c r="DE46" s="37"/>
      <c r="DF46" s="37"/>
      <c r="DG46" s="37"/>
      <c r="DH46" s="37"/>
      <c r="DI46" s="37"/>
      <c r="DJ46" s="37"/>
      <c r="DK46" s="37"/>
      <c r="DL46" s="37"/>
      <c r="DM46" s="37"/>
      <c r="DN46" s="37"/>
      <c r="DO46" s="37"/>
      <c r="DP46" s="37"/>
      <c r="DQ46" s="37"/>
      <c r="DR46" s="37"/>
      <c r="DS46" s="37"/>
      <c r="DT46" s="37"/>
      <c r="DU46" s="37"/>
      <c r="DV46" s="37"/>
      <c r="DW46" s="37"/>
      <c r="DX46" s="37"/>
      <c r="DY46" s="37"/>
      <c r="DZ46" s="37"/>
      <c r="EA46" s="37"/>
      <c r="EB46" s="37"/>
      <c r="EC46" s="37"/>
      <c r="ED46" s="37"/>
      <c r="EE46" s="37"/>
      <c r="EF46" s="37"/>
      <c r="EG46" s="37"/>
      <c r="EH46" s="37"/>
      <c r="EI46" s="37"/>
      <c r="EJ46" s="37"/>
      <c r="EK46" s="37"/>
      <c r="EL46" s="37"/>
      <c r="EM46" s="37"/>
      <c r="EN46" s="37"/>
      <c r="EO46" s="37"/>
      <c r="EP46" s="37"/>
      <c r="EQ46" s="37"/>
      <c r="ER46" s="37"/>
      <c r="ES46" s="37"/>
      <c r="ET46" s="37"/>
      <c r="EU46" s="37"/>
      <c r="EV46" s="37"/>
      <c r="EW46" s="37"/>
      <c r="EX46" s="37"/>
      <c r="EY46" s="37"/>
      <c r="EZ46" s="37"/>
      <c r="FA46" s="37"/>
      <c r="FB46" s="37"/>
      <c r="FC46" s="37"/>
      <c r="FD46" s="37"/>
      <c r="FE46" s="37"/>
      <c r="FF46" s="37"/>
      <c r="FG46" s="37"/>
      <c r="FH46" s="37"/>
      <c r="FI46" s="37"/>
      <c r="FJ46" s="37"/>
      <c r="FK46" s="37"/>
      <c r="FL46" s="37"/>
      <c r="FM46" s="37"/>
      <c r="FN46" s="37"/>
      <c r="FO46" s="37"/>
      <c r="FP46" s="37"/>
      <c r="FQ46" s="37"/>
      <c r="FR46" s="37"/>
      <c r="FS46" s="37"/>
      <c r="FT46" s="37"/>
      <c r="FU46" s="37"/>
      <c r="FV46" s="37"/>
      <c r="FW46" s="37"/>
      <c r="FX46" s="37"/>
      <c r="FY46" s="37"/>
      <c r="FZ46" s="37"/>
      <c r="GA46" s="37"/>
      <c r="GB46" s="37"/>
      <c r="GC46" s="37"/>
      <c r="GD46" s="37"/>
      <c r="GE46" s="37"/>
      <c r="GF46" s="37"/>
      <c r="GG46" s="37"/>
      <c r="GH46" s="37"/>
      <c r="GI46" s="37"/>
      <c r="GJ46" s="37"/>
      <c r="GK46" s="37"/>
      <c r="GL46" s="37"/>
      <c r="GM46" s="37"/>
      <c r="GN46" s="37"/>
      <c r="GO46" s="37"/>
      <c r="GP46" s="37"/>
      <c r="GQ46" s="37"/>
      <c r="GR46" s="37"/>
      <c r="GS46" s="37"/>
      <c r="GT46" s="37"/>
      <c r="GU46" s="37"/>
      <c r="GV46" s="37"/>
      <c r="GW46" s="37"/>
      <c r="GX46" s="37"/>
      <c r="GY46" s="37"/>
      <c r="GZ46" s="37"/>
      <c r="HA46" s="37"/>
      <c r="HB46" s="37"/>
      <c r="HC46" s="37"/>
      <c r="HD46" s="37"/>
      <c r="HE46" s="37"/>
      <c r="HF46" s="37"/>
      <c r="HG46" s="37"/>
      <c r="HH46" s="37"/>
      <c r="HI46" s="37"/>
      <c r="HJ46" s="37"/>
      <c r="HK46" s="37"/>
      <c r="HL46" s="37"/>
      <c r="HM46" s="37"/>
      <c r="HN46" s="37"/>
      <c r="HO46" s="37"/>
      <c r="HP46" s="37"/>
      <c r="HQ46" s="37"/>
      <c r="HR46" s="37"/>
      <c r="HS46" s="37"/>
      <c r="HT46" s="37"/>
      <c r="HU46" s="37"/>
      <c r="HV46" s="37"/>
      <c r="HW46" s="37"/>
      <c r="HX46" s="37"/>
      <c r="HY46" s="37"/>
      <c r="HZ46" s="37"/>
      <c r="IA46" s="37"/>
      <c r="IB46" s="37"/>
      <c r="IC46" s="37"/>
      <c r="ID46" s="37"/>
      <c r="IE46" s="37"/>
      <c r="IF46" s="37"/>
      <c r="IG46" s="37"/>
      <c r="IH46" s="37"/>
      <c r="II46" s="37"/>
      <c r="IJ46" s="37"/>
      <c r="IK46" s="37"/>
      <c r="IL46" s="37"/>
      <c r="IM46" s="37"/>
      <c r="IN46" s="37"/>
      <c r="IO46" s="37"/>
      <c r="IP46" s="37"/>
      <c r="IQ46" s="37"/>
      <c r="IR46" s="37"/>
      <c r="IS46" s="37"/>
      <c r="IT46" s="37"/>
    </row>
    <row r="47" spans="1:254" ht="18.75" x14ac:dyDescent="0.3">
      <c r="A47" s="48" t="s">
        <v>194</v>
      </c>
      <c r="B47" s="92" t="s">
        <v>130</v>
      </c>
      <c r="C47" s="92" t="s">
        <v>115</v>
      </c>
      <c r="D47" s="44" t="s">
        <v>49</v>
      </c>
      <c r="E47" s="44" t="s">
        <v>50</v>
      </c>
      <c r="F47" s="45">
        <f>'В-25'!G443+'В-25'!G1285</f>
        <v>85916</v>
      </c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37"/>
      <c r="BS47" s="37"/>
      <c r="BT47" s="37"/>
      <c r="BU47" s="37"/>
      <c r="BV47" s="37"/>
      <c r="BW47" s="37"/>
      <c r="BX47" s="37"/>
      <c r="BY47" s="37"/>
      <c r="BZ47" s="37"/>
      <c r="CA47" s="37"/>
      <c r="CB47" s="37"/>
      <c r="CC47" s="37"/>
      <c r="CD47" s="37"/>
      <c r="CE47" s="37"/>
      <c r="CF47" s="37"/>
      <c r="CG47" s="37"/>
      <c r="CH47" s="37"/>
      <c r="CI47" s="37"/>
      <c r="CJ47" s="37"/>
      <c r="CK47" s="37"/>
      <c r="CL47" s="37"/>
      <c r="CM47" s="37"/>
      <c r="CN47" s="37"/>
      <c r="CO47" s="37"/>
      <c r="CP47" s="37"/>
      <c r="CQ47" s="37"/>
      <c r="CR47" s="37"/>
      <c r="CS47" s="37"/>
      <c r="CT47" s="37"/>
      <c r="CU47" s="37"/>
      <c r="CV47" s="37"/>
      <c r="CW47" s="37"/>
      <c r="CX47" s="37"/>
      <c r="CY47" s="37"/>
      <c r="CZ47" s="37"/>
      <c r="DA47" s="37"/>
      <c r="DB47" s="37"/>
      <c r="DC47" s="37"/>
      <c r="DD47" s="37"/>
      <c r="DE47" s="37"/>
      <c r="DF47" s="37"/>
      <c r="DG47" s="37"/>
      <c r="DH47" s="37"/>
      <c r="DI47" s="37"/>
      <c r="DJ47" s="37"/>
      <c r="DK47" s="37"/>
      <c r="DL47" s="37"/>
      <c r="DM47" s="37"/>
      <c r="DN47" s="37"/>
      <c r="DO47" s="37"/>
      <c r="DP47" s="37"/>
      <c r="DQ47" s="37"/>
      <c r="DR47" s="37"/>
      <c r="DS47" s="37"/>
      <c r="DT47" s="37"/>
      <c r="DU47" s="37"/>
      <c r="DV47" s="37"/>
      <c r="DW47" s="37"/>
      <c r="DX47" s="37"/>
      <c r="DY47" s="37"/>
      <c r="DZ47" s="37"/>
      <c r="EA47" s="37"/>
      <c r="EB47" s="37"/>
      <c r="EC47" s="37"/>
      <c r="ED47" s="37"/>
      <c r="EE47" s="37"/>
      <c r="EF47" s="37"/>
      <c r="EG47" s="37"/>
      <c r="EH47" s="37"/>
      <c r="EI47" s="37"/>
      <c r="EJ47" s="37"/>
      <c r="EK47" s="37"/>
      <c r="EL47" s="37"/>
      <c r="EM47" s="37"/>
      <c r="EN47" s="37"/>
      <c r="EO47" s="37"/>
      <c r="EP47" s="37"/>
      <c r="EQ47" s="37"/>
      <c r="ER47" s="37"/>
      <c r="ES47" s="37"/>
      <c r="ET47" s="37"/>
      <c r="EU47" s="37"/>
      <c r="EV47" s="37"/>
      <c r="EW47" s="37"/>
      <c r="EX47" s="37"/>
      <c r="EY47" s="37"/>
      <c r="EZ47" s="37"/>
      <c r="FA47" s="37"/>
      <c r="FB47" s="37"/>
      <c r="FC47" s="37"/>
      <c r="FD47" s="37"/>
      <c r="FE47" s="37"/>
      <c r="FF47" s="37"/>
      <c r="FG47" s="37"/>
      <c r="FH47" s="37"/>
      <c r="FI47" s="37"/>
      <c r="FJ47" s="37"/>
      <c r="FK47" s="37"/>
      <c r="FL47" s="37"/>
      <c r="FM47" s="37"/>
      <c r="FN47" s="37"/>
      <c r="FO47" s="37"/>
      <c r="FP47" s="37"/>
      <c r="FQ47" s="37"/>
      <c r="FR47" s="37"/>
      <c r="FS47" s="37"/>
      <c r="FT47" s="37"/>
      <c r="FU47" s="37"/>
      <c r="FV47" s="37"/>
      <c r="FW47" s="37"/>
      <c r="FX47" s="37"/>
      <c r="FY47" s="37"/>
      <c r="FZ47" s="37"/>
      <c r="GA47" s="37"/>
      <c r="GB47" s="37"/>
      <c r="GC47" s="37"/>
      <c r="GD47" s="37"/>
      <c r="GE47" s="37"/>
      <c r="GF47" s="37"/>
      <c r="GG47" s="37"/>
      <c r="GH47" s="37"/>
      <c r="GI47" s="37"/>
      <c r="GJ47" s="37"/>
      <c r="GK47" s="37"/>
      <c r="GL47" s="37"/>
      <c r="GM47" s="37"/>
      <c r="GN47" s="37"/>
      <c r="GO47" s="37"/>
      <c r="GP47" s="37"/>
      <c r="GQ47" s="37"/>
      <c r="GR47" s="37"/>
      <c r="GS47" s="37"/>
      <c r="GT47" s="37"/>
      <c r="GU47" s="37"/>
      <c r="GV47" s="37"/>
      <c r="GW47" s="37"/>
      <c r="GX47" s="37"/>
      <c r="GY47" s="37"/>
      <c r="GZ47" s="37"/>
      <c r="HA47" s="37"/>
      <c r="HB47" s="37"/>
      <c r="HC47" s="37"/>
      <c r="HD47" s="37"/>
      <c r="HE47" s="37"/>
      <c r="HF47" s="37"/>
      <c r="HG47" s="37"/>
      <c r="HH47" s="37"/>
      <c r="HI47" s="37"/>
      <c r="HJ47" s="37"/>
      <c r="HK47" s="37"/>
      <c r="HL47" s="37"/>
      <c r="HM47" s="37"/>
      <c r="HN47" s="37"/>
      <c r="HO47" s="37"/>
      <c r="HP47" s="37"/>
      <c r="HQ47" s="37"/>
      <c r="HR47" s="37"/>
      <c r="HS47" s="37"/>
      <c r="HT47" s="37"/>
      <c r="HU47" s="37"/>
      <c r="HV47" s="37"/>
      <c r="HW47" s="37"/>
      <c r="HX47" s="37"/>
      <c r="HY47" s="37"/>
      <c r="HZ47" s="37"/>
      <c r="IA47" s="37"/>
      <c r="IB47" s="37"/>
      <c r="IC47" s="37"/>
      <c r="ID47" s="37"/>
      <c r="IE47" s="37"/>
      <c r="IF47" s="37"/>
      <c r="IG47" s="37"/>
      <c r="IH47" s="37"/>
      <c r="II47" s="37"/>
      <c r="IJ47" s="37"/>
      <c r="IK47" s="37"/>
      <c r="IL47" s="37"/>
      <c r="IM47" s="37"/>
      <c r="IN47" s="37"/>
      <c r="IO47" s="37"/>
      <c r="IP47" s="37"/>
      <c r="IQ47" s="37"/>
      <c r="IR47" s="37"/>
      <c r="IS47" s="37"/>
      <c r="IT47" s="37"/>
    </row>
    <row r="48" spans="1:254" ht="37.5" x14ac:dyDescent="0.3">
      <c r="A48" s="52" t="s">
        <v>131</v>
      </c>
      <c r="B48" s="92" t="s">
        <v>130</v>
      </c>
      <c r="C48" s="92" t="s">
        <v>121</v>
      </c>
      <c r="D48" s="44" t="s">
        <v>49</v>
      </c>
      <c r="E48" s="44" t="s">
        <v>50</v>
      </c>
      <c r="F48" s="45">
        <f>'В-25'!G315+'В-25'!G1381</f>
        <v>18186.7</v>
      </c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7"/>
      <c r="BZ48" s="37"/>
      <c r="CA48" s="37"/>
      <c r="CB48" s="37"/>
      <c r="CC48" s="37"/>
      <c r="CD48" s="37"/>
      <c r="CE48" s="37"/>
      <c r="CF48" s="37"/>
      <c r="CG48" s="37"/>
      <c r="CH48" s="37"/>
      <c r="CI48" s="37"/>
      <c r="CJ48" s="37"/>
      <c r="CK48" s="37"/>
      <c r="CL48" s="37"/>
      <c r="CM48" s="37"/>
      <c r="CN48" s="37"/>
      <c r="CO48" s="37"/>
      <c r="CP48" s="37"/>
      <c r="CQ48" s="37"/>
      <c r="CR48" s="37"/>
      <c r="CS48" s="37"/>
      <c r="CT48" s="37"/>
      <c r="CU48" s="37"/>
      <c r="CV48" s="37"/>
      <c r="CW48" s="37"/>
      <c r="CX48" s="37"/>
      <c r="CY48" s="37"/>
      <c r="CZ48" s="37"/>
      <c r="DA48" s="37"/>
      <c r="DB48" s="37"/>
      <c r="DC48" s="37"/>
      <c r="DD48" s="37"/>
      <c r="DE48" s="37"/>
      <c r="DF48" s="37"/>
      <c r="DG48" s="37"/>
      <c r="DH48" s="37"/>
      <c r="DI48" s="37"/>
      <c r="DJ48" s="37"/>
      <c r="DK48" s="37"/>
      <c r="DL48" s="37"/>
      <c r="DM48" s="37"/>
      <c r="DN48" s="37"/>
      <c r="DO48" s="37"/>
      <c r="DP48" s="37"/>
      <c r="DQ48" s="37"/>
      <c r="DR48" s="37"/>
      <c r="DS48" s="37"/>
      <c r="DT48" s="37"/>
      <c r="DU48" s="37"/>
      <c r="DV48" s="37"/>
      <c r="DW48" s="37"/>
      <c r="DX48" s="37"/>
      <c r="DY48" s="37"/>
      <c r="DZ48" s="37"/>
      <c r="EA48" s="37"/>
      <c r="EB48" s="37"/>
      <c r="EC48" s="37"/>
      <c r="ED48" s="37"/>
      <c r="EE48" s="37"/>
      <c r="EF48" s="37"/>
      <c r="EG48" s="37"/>
      <c r="EH48" s="37"/>
      <c r="EI48" s="37"/>
      <c r="EJ48" s="37"/>
      <c r="EK48" s="37"/>
      <c r="EL48" s="37"/>
      <c r="EM48" s="37"/>
      <c r="EN48" s="37"/>
      <c r="EO48" s="37"/>
      <c r="EP48" s="37"/>
      <c r="EQ48" s="37"/>
      <c r="ER48" s="37"/>
      <c r="ES48" s="37"/>
      <c r="ET48" s="37"/>
      <c r="EU48" s="37"/>
      <c r="EV48" s="37"/>
      <c r="EW48" s="37"/>
      <c r="EX48" s="37"/>
      <c r="EY48" s="37"/>
      <c r="EZ48" s="37"/>
      <c r="FA48" s="37"/>
      <c r="FB48" s="37"/>
      <c r="FC48" s="37"/>
      <c r="FD48" s="37"/>
      <c r="FE48" s="37"/>
      <c r="FF48" s="37"/>
      <c r="FG48" s="37"/>
      <c r="FH48" s="37"/>
      <c r="FI48" s="37"/>
      <c r="FJ48" s="37"/>
      <c r="FK48" s="37"/>
      <c r="FL48" s="37"/>
      <c r="FM48" s="37"/>
      <c r="FN48" s="37"/>
      <c r="FO48" s="37"/>
      <c r="FP48" s="37"/>
      <c r="FQ48" s="37"/>
      <c r="FR48" s="37"/>
      <c r="FS48" s="37"/>
      <c r="FT48" s="37"/>
      <c r="FU48" s="37"/>
      <c r="FV48" s="37"/>
      <c r="FW48" s="37"/>
      <c r="FX48" s="37"/>
      <c r="FY48" s="37"/>
      <c r="FZ48" s="37"/>
      <c r="GA48" s="37"/>
      <c r="GB48" s="37"/>
      <c r="GC48" s="37"/>
      <c r="GD48" s="37"/>
      <c r="GE48" s="37"/>
      <c r="GF48" s="37"/>
      <c r="GG48" s="37"/>
      <c r="GH48" s="37"/>
      <c r="GI48" s="37"/>
      <c r="GJ48" s="37"/>
      <c r="GK48" s="37"/>
      <c r="GL48" s="37"/>
      <c r="GM48" s="37"/>
      <c r="GN48" s="37"/>
      <c r="GO48" s="37"/>
      <c r="GP48" s="37"/>
      <c r="GQ48" s="37"/>
      <c r="GR48" s="37"/>
      <c r="GS48" s="37"/>
      <c r="GT48" s="37"/>
      <c r="GU48" s="37"/>
      <c r="GV48" s="37"/>
      <c r="GW48" s="37"/>
      <c r="GX48" s="37"/>
      <c r="GY48" s="37"/>
      <c r="GZ48" s="37"/>
      <c r="HA48" s="37"/>
      <c r="HB48" s="37"/>
      <c r="HC48" s="37"/>
      <c r="HD48" s="37"/>
      <c r="HE48" s="37"/>
      <c r="HF48" s="37"/>
      <c r="HG48" s="37"/>
      <c r="HH48" s="37"/>
      <c r="HI48" s="37"/>
      <c r="HJ48" s="37"/>
      <c r="HK48" s="37"/>
      <c r="HL48" s="37"/>
      <c r="HM48" s="37"/>
      <c r="HN48" s="37"/>
      <c r="HO48" s="37"/>
      <c r="HP48" s="37"/>
      <c r="HQ48" s="37"/>
      <c r="HR48" s="37"/>
      <c r="HS48" s="37"/>
      <c r="HT48" s="37"/>
      <c r="HU48" s="37"/>
      <c r="HV48" s="37"/>
      <c r="HW48" s="37"/>
      <c r="HX48" s="37"/>
      <c r="HY48" s="37"/>
      <c r="HZ48" s="37"/>
      <c r="IA48" s="37"/>
      <c r="IB48" s="37"/>
      <c r="IC48" s="37"/>
      <c r="ID48" s="37"/>
      <c r="IE48" s="37"/>
      <c r="IF48" s="37"/>
      <c r="IG48" s="37"/>
      <c r="IH48" s="37"/>
      <c r="II48" s="37"/>
      <c r="IJ48" s="37"/>
      <c r="IK48" s="37"/>
      <c r="IL48" s="37"/>
      <c r="IM48" s="37"/>
      <c r="IN48" s="37"/>
      <c r="IO48" s="37"/>
      <c r="IP48" s="37"/>
      <c r="IQ48" s="37"/>
      <c r="IR48" s="37"/>
      <c r="IS48" s="37"/>
      <c r="IT48" s="37"/>
    </row>
    <row r="49" spans="1:254" s="54" customFormat="1" ht="18.75" hidden="1" x14ac:dyDescent="0.3">
      <c r="A49" s="53" t="s">
        <v>345</v>
      </c>
      <c r="B49" s="44" t="s">
        <v>128</v>
      </c>
      <c r="C49" s="92" t="s">
        <v>112</v>
      </c>
      <c r="D49" s="44" t="s">
        <v>49</v>
      </c>
      <c r="E49" s="44" t="s">
        <v>50</v>
      </c>
      <c r="F49" s="46">
        <f>F50</f>
        <v>0</v>
      </c>
    </row>
    <row r="50" spans="1:254" s="54" customFormat="1" ht="18.75" hidden="1" x14ac:dyDescent="0.3">
      <c r="A50" s="53" t="s">
        <v>346</v>
      </c>
      <c r="B50" s="44" t="s">
        <v>128</v>
      </c>
      <c r="C50" s="92" t="s">
        <v>115</v>
      </c>
      <c r="D50" s="44" t="s">
        <v>49</v>
      </c>
      <c r="E50" s="44" t="s">
        <v>50</v>
      </c>
      <c r="F50" s="46">
        <f>'В-25'!G1386</f>
        <v>0</v>
      </c>
    </row>
    <row r="51" spans="1:254" s="54" customFormat="1" ht="18.75" hidden="1" x14ac:dyDescent="0.3">
      <c r="A51" s="16" t="s">
        <v>345</v>
      </c>
      <c r="B51" s="44" t="s">
        <v>128</v>
      </c>
      <c r="C51" s="92" t="s">
        <v>112</v>
      </c>
      <c r="D51" s="44" t="s">
        <v>49</v>
      </c>
      <c r="E51" s="44" t="s">
        <v>50</v>
      </c>
      <c r="F51" s="46">
        <f>F53</f>
        <v>0</v>
      </c>
    </row>
    <row r="52" spans="1:254" s="54" customFormat="1" ht="27" hidden="1" customHeight="1" x14ac:dyDescent="0.3">
      <c r="A52" s="16" t="s">
        <v>487</v>
      </c>
      <c r="B52" s="44" t="s">
        <v>128</v>
      </c>
      <c r="C52" s="73" t="s">
        <v>123</v>
      </c>
      <c r="D52" s="44" t="s">
        <v>49</v>
      </c>
      <c r="E52" s="44" t="s">
        <v>50</v>
      </c>
      <c r="F52" s="46">
        <v>0</v>
      </c>
    </row>
    <row r="53" spans="1:254" s="54" customFormat="1" ht="27" hidden="1" customHeight="1" x14ac:dyDescent="0.3">
      <c r="A53" s="16" t="s">
        <v>346</v>
      </c>
      <c r="B53" s="44" t="s">
        <v>128</v>
      </c>
      <c r="C53" s="73" t="s">
        <v>128</v>
      </c>
      <c r="D53" s="44" t="s">
        <v>49</v>
      </c>
      <c r="E53" s="44" t="s">
        <v>50</v>
      </c>
      <c r="F53" s="46">
        <v>0</v>
      </c>
    </row>
    <row r="54" spans="1:254" ht="18.75" x14ac:dyDescent="0.3">
      <c r="A54" s="48" t="s">
        <v>166</v>
      </c>
      <c r="B54" s="92">
        <v>10</v>
      </c>
      <c r="C54" s="92" t="s">
        <v>112</v>
      </c>
      <c r="D54" s="44" t="s">
        <v>49</v>
      </c>
      <c r="E54" s="44" t="s">
        <v>50</v>
      </c>
      <c r="F54" s="45">
        <f>SUM(F55:F58)</f>
        <v>38628.299999999996</v>
      </c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  <c r="BR54" s="37"/>
      <c r="BS54" s="37"/>
      <c r="BT54" s="37"/>
      <c r="BU54" s="37"/>
      <c r="BV54" s="37"/>
      <c r="BW54" s="37"/>
      <c r="BX54" s="37"/>
      <c r="BY54" s="37"/>
      <c r="BZ54" s="37"/>
      <c r="CA54" s="37"/>
      <c r="CB54" s="37"/>
      <c r="CC54" s="37"/>
      <c r="CD54" s="37"/>
      <c r="CE54" s="37"/>
      <c r="CF54" s="37"/>
      <c r="CG54" s="37"/>
      <c r="CH54" s="37"/>
      <c r="CI54" s="37"/>
      <c r="CJ54" s="37"/>
      <c r="CK54" s="37"/>
      <c r="CL54" s="37"/>
      <c r="CM54" s="37"/>
      <c r="CN54" s="37"/>
      <c r="CO54" s="37"/>
      <c r="CP54" s="37"/>
      <c r="CQ54" s="37"/>
      <c r="CR54" s="37"/>
      <c r="CS54" s="37"/>
      <c r="CT54" s="37"/>
      <c r="CU54" s="37"/>
      <c r="CV54" s="37"/>
      <c r="CW54" s="37"/>
      <c r="CX54" s="37"/>
      <c r="CY54" s="37"/>
      <c r="CZ54" s="37"/>
      <c r="DA54" s="37"/>
      <c r="DB54" s="37"/>
      <c r="DC54" s="37"/>
      <c r="DD54" s="37"/>
      <c r="DE54" s="37"/>
      <c r="DF54" s="37"/>
      <c r="DG54" s="37"/>
      <c r="DH54" s="37"/>
      <c r="DI54" s="37"/>
      <c r="DJ54" s="37"/>
      <c r="DK54" s="37"/>
      <c r="DL54" s="37"/>
      <c r="DM54" s="37"/>
      <c r="DN54" s="37"/>
      <c r="DO54" s="37"/>
      <c r="DP54" s="37"/>
      <c r="DQ54" s="37"/>
      <c r="DR54" s="37"/>
      <c r="DS54" s="37"/>
      <c r="DT54" s="37"/>
      <c r="DU54" s="37"/>
      <c r="DV54" s="37"/>
      <c r="DW54" s="37"/>
      <c r="DX54" s="37"/>
      <c r="DY54" s="37"/>
      <c r="DZ54" s="37"/>
      <c r="EA54" s="37"/>
      <c r="EB54" s="37"/>
      <c r="EC54" s="37"/>
      <c r="ED54" s="37"/>
      <c r="EE54" s="37"/>
      <c r="EF54" s="37"/>
      <c r="EG54" s="37"/>
      <c r="EH54" s="37"/>
      <c r="EI54" s="37"/>
      <c r="EJ54" s="37"/>
      <c r="EK54" s="37"/>
      <c r="EL54" s="37"/>
      <c r="EM54" s="37"/>
      <c r="EN54" s="37"/>
      <c r="EO54" s="37"/>
      <c r="EP54" s="37"/>
      <c r="EQ54" s="37"/>
      <c r="ER54" s="37"/>
      <c r="ES54" s="37"/>
      <c r="ET54" s="37"/>
      <c r="EU54" s="37"/>
      <c r="EV54" s="37"/>
      <c r="EW54" s="37"/>
      <c r="EX54" s="37"/>
      <c r="EY54" s="37"/>
      <c r="EZ54" s="37"/>
      <c r="FA54" s="37"/>
      <c r="FB54" s="37"/>
      <c r="FC54" s="37"/>
      <c r="FD54" s="37"/>
      <c r="FE54" s="37"/>
      <c r="FF54" s="37"/>
      <c r="FG54" s="37"/>
      <c r="FH54" s="37"/>
      <c r="FI54" s="37"/>
      <c r="FJ54" s="37"/>
      <c r="FK54" s="37"/>
      <c r="FL54" s="37"/>
      <c r="FM54" s="37"/>
      <c r="FN54" s="37"/>
      <c r="FO54" s="37"/>
      <c r="FP54" s="37"/>
      <c r="FQ54" s="37"/>
      <c r="FR54" s="37"/>
      <c r="FS54" s="37"/>
      <c r="FT54" s="37"/>
      <c r="FU54" s="37"/>
      <c r="FV54" s="37"/>
      <c r="FW54" s="37"/>
      <c r="FX54" s="37"/>
      <c r="FY54" s="37"/>
      <c r="FZ54" s="37"/>
      <c r="GA54" s="37"/>
      <c r="GB54" s="37"/>
      <c r="GC54" s="37"/>
      <c r="GD54" s="37"/>
      <c r="GE54" s="37"/>
      <c r="GF54" s="37"/>
      <c r="GG54" s="37"/>
      <c r="GH54" s="37"/>
      <c r="GI54" s="37"/>
      <c r="GJ54" s="37"/>
      <c r="GK54" s="37"/>
      <c r="GL54" s="37"/>
      <c r="GM54" s="37"/>
      <c r="GN54" s="37"/>
      <c r="GO54" s="37"/>
      <c r="GP54" s="37"/>
      <c r="GQ54" s="37"/>
      <c r="GR54" s="37"/>
      <c r="GS54" s="37"/>
      <c r="GT54" s="37"/>
      <c r="GU54" s="37"/>
      <c r="GV54" s="37"/>
      <c r="GW54" s="37"/>
      <c r="GX54" s="37"/>
      <c r="GY54" s="37"/>
      <c r="GZ54" s="37"/>
      <c r="HA54" s="37"/>
      <c r="HB54" s="37"/>
      <c r="HC54" s="37"/>
      <c r="HD54" s="37"/>
      <c r="HE54" s="37"/>
      <c r="HF54" s="37"/>
      <c r="HG54" s="37"/>
      <c r="HH54" s="37"/>
      <c r="HI54" s="37"/>
      <c r="HJ54" s="37"/>
      <c r="HK54" s="37"/>
      <c r="HL54" s="37"/>
      <c r="HM54" s="37"/>
      <c r="HN54" s="37"/>
      <c r="HO54" s="37"/>
      <c r="HP54" s="37"/>
      <c r="HQ54" s="37"/>
      <c r="HR54" s="37"/>
      <c r="HS54" s="37"/>
      <c r="HT54" s="37"/>
      <c r="HU54" s="37"/>
      <c r="HV54" s="37"/>
      <c r="HW54" s="37"/>
      <c r="HX54" s="37"/>
      <c r="HY54" s="37"/>
      <c r="HZ54" s="37"/>
      <c r="IA54" s="37"/>
      <c r="IB54" s="37"/>
      <c r="IC54" s="37"/>
      <c r="ID54" s="37"/>
      <c r="IE54" s="37"/>
      <c r="IF54" s="37"/>
      <c r="IG54" s="37"/>
      <c r="IH54" s="37"/>
      <c r="II54" s="37"/>
      <c r="IJ54" s="37"/>
      <c r="IK54" s="37"/>
      <c r="IL54" s="37"/>
      <c r="IM54" s="37"/>
      <c r="IN54" s="37"/>
      <c r="IO54" s="37"/>
      <c r="IP54" s="37"/>
      <c r="IQ54" s="37"/>
      <c r="IR54" s="37"/>
      <c r="IS54" s="37"/>
      <c r="IT54" s="37"/>
    </row>
    <row r="55" spans="1:254" ht="18.75" x14ac:dyDescent="0.3">
      <c r="A55" s="48" t="s">
        <v>315</v>
      </c>
      <c r="B55" s="92">
        <v>10</v>
      </c>
      <c r="C55" s="92" t="s">
        <v>115</v>
      </c>
      <c r="D55" s="44" t="s">
        <v>49</v>
      </c>
      <c r="E55" s="44" t="s">
        <v>50</v>
      </c>
      <c r="F55" s="45">
        <f>'В-25'!G1420</f>
        <v>860</v>
      </c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7"/>
      <c r="BZ55" s="37"/>
      <c r="CA55" s="37"/>
      <c r="CB55" s="37"/>
      <c r="CC55" s="37"/>
      <c r="CD55" s="37"/>
      <c r="CE55" s="37"/>
      <c r="CF55" s="37"/>
      <c r="CG55" s="37"/>
      <c r="CH55" s="37"/>
      <c r="CI55" s="37"/>
      <c r="CJ55" s="37"/>
      <c r="CK55" s="37"/>
      <c r="CL55" s="37"/>
      <c r="CM55" s="37"/>
      <c r="CN55" s="37"/>
      <c r="CO55" s="37"/>
      <c r="CP55" s="37"/>
      <c r="CQ55" s="37"/>
      <c r="CR55" s="37"/>
      <c r="CS55" s="37"/>
      <c r="CT55" s="37"/>
      <c r="CU55" s="37"/>
      <c r="CV55" s="37"/>
      <c r="CW55" s="37"/>
      <c r="CX55" s="37"/>
      <c r="CY55" s="37"/>
      <c r="CZ55" s="37"/>
      <c r="DA55" s="37"/>
      <c r="DB55" s="37"/>
      <c r="DC55" s="37"/>
      <c r="DD55" s="37"/>
      <c r="DE55" s="37"/>
      <c r="DF55" s="37"/>
      <c r="DG55" s="37"/>
      <c r="DH55" s="37"/>
      <c r="DI55" s="37"/>
      <c r="DJ55" s="37"/>
      <c r="DK55" s="37"/>
      <c r="DL55" s="37"/>
      <c r="DM55" s="37"/>
      <c r="DN55" s="37"/>
      <c r="DO55" s="37"/>
      <c r="DP55" s="37"/>
      <c r="DQ55" s="37"/>
      <c r="DR55" s="37"/>
      <c r="DS55" s="37"/>
      <c r="DT55" s="37"/>
      <c r="DU55" s="37"/>
      <c r="DV55" s="37"/>
      <c r="DW55" s="37"/>
      <c r="DX55" s="37"/>
      <c r="DY55" s="37"/>
      <c r="DZ55" s="37"/>
      <c r="EA55" s="37"/>
      <c r="EB55" s="37"/>
      <c r="EC55" s="37"/>
      <c r="ED55" s="37"/>
      <c r="EE55" s="37"/>
      <c r="EF55" s="37"/>
      <c r="EG55" s="37"/>
      <c r="EH55" s="37"/>
      <c r="EI55" s="37"/>
      <c r="EJ55" s="37"/>
      <c r="EK55" s="37"/>
      <c r="EL55" s="37"/>
      <c r="EM55" s="37"/>
      <c r="EN55" s="37"/>
      <c r="EO55" s="37"/>
      <c r="EP55" s="37"/>
      <c r="EQ55" s="37"/>
      <c r="ER55" s="37"/>
      <c r="ES55" s="37"/>
      <c r="ET55" s="37"/>
      <c r="EU55" s="37"/>
      <c r="EV55" s="37"/>
      <c r="EW55" s="37"/>
      <c r="EX55" s="37"/>
      <c r="EY55" s="37"/>
      <c r="EZ55" s="37"/>
      <c r="FA55" s="37"/>
      <c r="FB55" s="37"/>
      <c r="FC55" s="37"/>
      <c r="FD55" s="37"/>
      <c r="FE55" s="37"/>
      <c r="FF55" s="37"/>
      <c r="FG55" s="37"/>
      <c r="FH55" s="37"/>
      <c r="FI55" s="37"/>
      <c r="FJ55" s="37"/>
      <c r="FK55" s="37"/>
      <c r="FL55" s="37"/>
      <c r="FM55" s="37"/>
      <c r="FN55" s="37"/>
      <c r="FO55" s="37"/>
      <c r="FP55" s="37"/>
      <c r="FQ55" s="37"/>
      <c r="FR55" s="37"/>
      <c r="FS55" s="37"/>
      <c r="FT55" s="37"/>
      <c r="FU55" s="37"/>
      <c r="FV55" s="37"/>
      <c r="FW55" s="37"/>
      <c r="FX55" s="37"/>
      <c r="FY55" s="37"/>
      <c r="FZ55" s="37"/>
      <c r="GA55" s="37"/>
      <c r="GB55" s="37"/>
      <c r="GC55" s="37"/>
      <c r="GD55" s="37"/>
      <c r="GE55" s="37"/>
      <c r="GF55" s="37"/>
      <c r="GG55" s="37"/>
      <c r="GH55" s="37"/>
      <c r="GI55" s="37"/>
      <c r="GJ55" s="37"/>
      <c r="GK55" s="37"/>
      <c r="GL55" s="37"/>
      <c r="GM55" s="37"/>
      <c r="GN55" s="37"/>
      <c r="GO55" s="37"/>
      <c r="GP55" s="37"/>
      <c r="GQ55" s="37"/>
      <c r="GR55" s="37"/>
      <c r="GS55" s="37"/>
      <c r="GT55" s="37"/>
      <c r="GU55" s="37"/>
      <c r="GV55" s="37"/>
      <c r="GW55" s="37"/>
      <c r="GX55" s="37"/>
      <c r="GY55" s="37"/>
      <c r="GZ55" s="37"/>
      <c r="HA55" s="37"/>
      <c r="HB55" s="37"/>
      <c r="HC55" s="37"/>
      <c r="HD55" s="37"/>
      <c r="HE55" s="37"/>
      <c r="HF55" s="37"/>
      <c r="HG55" s="37"/>
      <c r="HH55" s="37"/>
      <c r="HI55" s="37"/>
      <c r="HJ55" s="37"/>
      <c r="HK55" s="37"/>
      <c r="HL55" s="37"/>
      <c r="HM55" s="37"/>
      <c r="HN55" s="37"/>
      <c r="HO55" s="37"/>
      <c r="HP55" s="37"/>
      <c r="HQ55" s="37"/>
      <c r="HR55" s="37"/>
      <c r="HS55" s="37"/>
      <c r="HT55" s="37"/>
      <c r="HU55" s="37"/>
      <c r="HV55" s="37"/>
      <c r="HW55" s="37"/>
      <c r="HX55" s="37"/>
      <c r="HY55" s="37"/>
      <c r="HZ55" s="37"/>
      <c r="IA55" s="37"/>
      <c r="IB55" s="37"/>
      <c r="IC55" s="37"/>
      <c r="ID55" s="37"/>
      <c r="IE55" s="37"/>
      <c r="IF55" s="37"/>
      <c r="IG55" s="37"/>
      <c r="IH55" s="37"/>
      <c r="II55" s="37"/>
      <c r="IJ55" s="37"/>
      <c r="IK55" s="37"/>
      <c r="IL55" s="37"/>
      <c r="IM55" s="37"/>
      <c r="IN55" s="37"/>
      <c r="IO55" s="37"/>
      <c r="IP55" s="37"/>
      <c r="IQ55" s="37"/>
      <c r="IR55" s="37"/>
      <c r="IS55" s="37"/>
      <c r="IT55" s="37"/>
    </row>
    <row r="56" spans="1:254" ht="18.75" x14ac:dyDescent="0.3">
      <c r="A56" s="48" t="s">
        <v>167</v>
      </c>
      <c r="B56" s="92">
        <v>10</v>
      </c>
      <c r="C56" s="92" t="s">
        <v>117</v>
      </c>
      <c r="D56" s="44" t="s">
        <v>49</v>
      </c>
      <c r="E56" s="44" t="s">
        <v>50</v>
      </c>
      <c r="F56" s="45">
        <f>'В-25'!G1424+'В-25'!G328</f>
        <v>3467.7</v>
      </c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7"/>
      <c r="BZ56" s="37"/>
      <c r="CA56" s="37"/>
      <c r="CB56" s="37"/>
      <c r="CC56" s="37"/>
      <c r="CD56" s="37"/>
      <c r="CE56" s="37"/>
      <c r="CF56" s="37"/>
      <c r="CG56" s="37"/>
      <c r="CH56" s="37"/>
      <c r="CI56" s="37"/>
      <c r="CJ56" s="37"/>
      <c r="CK56" s="37"/>
      <c r="CL56" s="37"/>
      <c r="CM56" s="37"/>
      <c r="CN56" s="37"/>
      <c r="CO56" s="37"/>
      <c r="CP56" s="37"/>
      <c r="CQ56" s="37"/>
      <c r="CR56" s="37"/>
      <c r="CS56" s="37"/>
      <c r="CT56" s="37"/>
      <c r="CU56" s="37"/>
      <c r="CV56" s="37"/>
      <c r="CW56" s="37"/>
      <c r="CX56" s="37"/>
      <c r="CY56" s="37"/>
      <c r="CZ56" s="37"/>
      <c r="DA56" s="37"/>
      <c r="DB56" s="37"/>
      <c r="DC56" s="37"/>
      <c r="DD56" s="37"/>
      <c r="DE56" s="37"/>
      <c r="DF56" s="37"/>
      <c r="DG56" s="37"/>
      <c r="DH56" s="37"/>
      <c r="DI56" s="37"/>
      <c r="DJ56" s="37"/>
      <c r="DK56" s="37"/>
      <c r="DL56" s="37"/>
      <c r="DM56" s="37"/>
      <c r="DN56" s="37"/>
      <c r="DO56" s="37"/>
      <c r="DP56" s="37"/>
      <c r="DQ56" s="37"/>
      <c r="DR56" s="37"/>
      <c r="DS56" s="37"/>
      <c r="DT56" s="37"/>
      <c r="DU56" s="37"/>
      <c r="DV56" s="37"/>
      <c r="DW56" s="37"/>
      <c r="DX56" s="37"/>
      <c r="DY56" s="37"/>
      <c r="DZ56" s="37"/>
      <c r="EA56" s="37"/>
      <c r="EB56" s="37"/>
      <c r="EC56" s="37"/>
      <c r="ED56" s="37"/>
      <c r="EE56" s="37"/>
      <c r="EF56" s="37"/>
      <c r="EG56" s="37"/>
      <c r="EH56" s="37"/>
      <c r="EI56" s="37"/>
      <c r="EJ56" s="37"/>
      <c r="EK56" s="37"/>
      <c r="EL56" s="37"/>
      <c r="EM56" s="37"/>
      <c r="EN56" s="37"/>
      <c r="EO56" s="37"/>
      <c r="EP56" s="37"/>
      <c r="EQ56" s="37"/>
      <c r="ER56" s="37"/>
      <c r="ES56" s="37"/>
      <c r="ET56" s="37"/>
      <c r="EU56" s="37"/>
      <c r="EV56" s="37"/>
      <c r="EW56" s="37"/>
      <c r="EX56" s="37"/>
      <c r="EY56" s="37"/>
      <c r="EZ56" s="37"/>
      <c r="FA56" s="37"/>
      <c r="FB56" s="37"/>
      <c r="FC56" s="37"/>
      <c r="FD56" s="37"/>
      <c r="FE56" s="37"/>
      <c r="FF56" s="37"/>
      <c r="FG56" s="37"/>
      <c r="FH56" s="37"/>
      <c r="FI56" s="37"/>
      <c r="FJ56" s="37"/>
      <c r="FK56" s="37"/>
      <c r="FL56" s="37"/>
      <c r="FM56" s="37"/>
      <c r="FN56" s="37"/>
      <c r="FO56" s="37"/>
      <c r="FP56" s="37"/>
      <c r="FQ56" s="37"/>
      <c r="FR56" s="37"/>
      <c r="FS56" s="37"/>
      <c r="FT56" s="37"/>
      <c r="FU56" s="37"/>
      <c r="FV56" s="37"/>
      <c r="FW56" s="37"/>
      <c r="FX56" s="37"/>
      <c r="FY56" s="37"/>
      <c r="FZ56" s="37"/>
      <c r="GA56" s="37"/>
      <c r="GB56" s="37"/>
      <c r="GC56" s="37"/>
      <c r="GD56" s="37"/>
      <c r="GE56" s="37"/>
      <c r="GF56" s="37"/>
      <c r="GG56" s="37"/>
      <c r="GH56" s="37"/>
      <c r="GI56" s="37"/>
      <c r="GJ56" s="37"/>
      <c r="GK56" s="37"/>
      <c r="GL56" s="37"/>
      <c r="GM56" s="37"/>
      <c r="GN56" s="37"/>
      <c r="GO56" s="37"/>
      <c r="GP56" s="37"/>
      <c r="GQ56" s="37"/>
      <c r="GR56" s="37"/>
      <c r="GS56" s="37"/>
      <c r="GT56" s="37"/>
      <c r="GU56" s="37"/>
      <c r="GV56" s="37"/>
      <c r="GW56" s="37"/>
      <c r="GX56" s="37"/>
      <c r="GY56" s="37"/>
      <c r="GZ56" s="37"/>
      <c r="HA56" s="37"/>
      <c r="HB56" s="37"/>
      <c r="HC56" s="37"/>
      <c r="HD56" s="37"/>
      <c r="HE56" s="37"/>
      <c r="HF56" s="37"/>
      <c r="HG56" s="37"/>
      <c r="HH56" s="37"/>
      <c r="HI56" s="37"/>
      <c r="HJ56" s="37"/>
      <c r="HK56" s="37"/>
      <c r="HL56" s="37"/>
      <c r="HM56" s="37"/>
      <c r="HN56" s="37"/>
      <c r="HO56" s="37"/>
      <c r="HP56" s="37"/>
      <c r="HQ56" s="37"/>
      <c r="HR56" s="37"/>
      <c r="HS56" s="37"/>
      <c r="HT56" s="37"/>
      <c r="HU56" s="37"/>
      <c r="HV56" s="37"/>
      <c r="HW56" s="37"/>
      <c r="HX56" s="37"/>
      <c r="HY56" s="37"/>
      <c r="HZ56" s="37"/>
      <c r="IA56" s="37"/>
      <c r="IB56" s="37"/>
      <c r="IC56" s="37"/>
      <c r="ID56" s="37"/>
      <c r="IE56" s="37"/>
      <c r="IF56" s="37"/>
      <c r="IG56" s="37"/>
      <c r="IH56" s="37"/>
      <c r="II56" s="37"/>
      <c r="IJ56" s="37"/>
      <c r="IK56" s="37"/>
      <c r="IL56" s="37"/>
      <c r="IM56" s="37"/>
      <c r="IN56" s="37"/>
      <c r="IO56" s="37"/>
      <c r="IP56" s="37"/>
      <c r="IQ56" s="37"/>
      <c r="IR56" s="37"/>
      <c r="IS56" s="37"/>
      <c r="IT56" s="37"/>
    </row>
    <row r="57" spans="1:254" ht="20.25" customHeight="1" x14ac:dyDescent="0.3">
      <c r="A57" s="48" t="s">
        <v>171</v>
      </c>
      <c r="B57" s="92">
        <v>10</v>
      </c>
      <c r="C57" s="92" t="s">
        <v>121</v>
      </c>
      <c r="D57" s="44" t="s">
        <v>49</v>
      </c>
      <c r="E57" s="44" t="s">
        <v>50</v>
      </c>
      <c r="F57" s="45">
        <f>'В-25'!G341+'В-25'!G1446+'В-25'!G422</f>
        <v>33836.6</v>
      </c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  <c r="BZ57" s="37"/>
      <c r="CA57" s="37"/>
      <c r="CB57" s="37"/>
      <c r="CC57" s="37"/>
      <c r="CD57" s="37"/>
      <c r="CE57" s="37"/>
      <c r="CF57" s="37"/>
      <c r="CG57" s="37"/>
      <c r="CH57" s="37"/>
      <c r="CI57" s="37"/>
      <c r="CJ57" s="37"/>
      <c r="CK57" s="37"/>
      <c r="CL57" s="37"/>
      <c r="CM57" s="37"/>
      <c r="CN57" s="37"/>
      <c r="CO57" s="37"/>
      <c r="CP57" s="37"/>
      <c r="CQ57" s="37"/>
      <c r="CR57" s="37"/>
      <c r="CS57" s="37"/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  <c r="DW57" s="37"/>
      <c r="DX57" s="37"/>
      <c r="DY57" s="37"/>
      <c r="DZ57" s="37"/>
      <c r="EA57" s="37"/>
      <c r="EB57" s="37"/>
      <c r="EC57" s="37"/>
      <c r="ED57" s="37"/>
      <c r="EE57" s="37"/>
      <c r="EF57" s="37"/>
      <c r="EG57" s="37"/>
      <c r="EH57" s="37"/>
      <c r="EI57" s="37"/>
      <c r="EJ57" s="37"/>
      <c r="EK57" s="37"/>
      <c r="EL57" s="37"/>
      <c r="EM57" s="37"/>
      <c r="EN57" s="37"/>
      <c r="EO57" s="37"/>
      <c r="EP57" s="37"/>
      <c r="EQ57" s="37"/>
      <c r="ER57" s="37"/>
      <c r="ES57" s="37"/>
      <c r="ET57" s="37"/>
      <c r="EU57" s="37"/>
      <c r="EV57" s="37"/>
      <c r="EW57" s="37"/>
      <c r="EX57" s="37"/>
      <c r="EY57" s="37"/>
      <c r="EZ57" s="37"/>
      <c r="FA57" s="37"/>
      <c r="FB57" s="37"/>
      <c r="FC57" s="37"/>
      <c r="FD57" s="37"/>
      <c r="FE57" s="37"/>
      <c r="FF57" s="37"/>
      <c r="FG57" s="37"/>
      <c r="FH57" s="37"/>
      <c r="FI57" s="37"/>
      <c r="FJ57" s="37"/>
      <c r="FK57" s="37"/>
      <c r="FL57" s="37"/>
      <c r="FM57" s="37"/>
      <c r="FN57" s="37"/>
      <c r="FO57" s="37"/>
      <c r="FP57" s="37"/>
      <c r="FQ57" s="37"/>
      <c r="FR57" s="37"/>
      <c r="FS57" s="37"/>
      <c r="FT57" s="37"/>
      <c r="FU57" s="37"/>
      <c r="FV57" s="37"/>
      <c r="FW57" s="37"/>
      <c r="FX57" s="37"/>
      <c r="FY57" s="37"/>
      <c r="FZ57" s="37"/>
      <c r="GA57" s="37"/>
      <c r="GB57" s="37"/>
      <c r="GC57" s="37"/>
      <c r="GD57" s="37"/>
      <c r="GE57" s="37"/>
      <c r="GF57" s="37"/>
      <c r="GG57" s="37"/>
      <c r="GH57" s="37"/>
      <c r="GI57" s="37"/>
      <c r="GJ57" s="37"/>
      <c r="GK57" s="37"/>
      <c r="GL57" s="37"/>
      <c r="GM57" s="37"/>
      <c r="GN57" s="37"/>
      <c r="GO57" s="37"/>
      <c r="GP57" s="37"/>
      <c r="GQ57" s="37"/>
      <c r="GR57" s="37"/>
      <c r="GS57" s="37"/>
      <c r="GT57" s="37"/>
      <c r="GU57" s="37"/>
      <c r="GV57" s="37"/>
      <c r="GW57" s="37"/>
      <c r="GX57" s="37"/>
      <c r="GY57" s="37"/>
      <c r="GZ57" s="37"/>
      <c r="HA57" s="37"/>
      <c r="HB57" s="37"/>
      <c r="HC57" s="37"/>
      <c r="HD57" s="37"/>
      <c r="HE57" s="37"/>
      <c r="HF57" s="37"/>
      <c r="HG57" s="37"/>
      <c r="HH57" s="37"/>
      <c r="HI57" s="37"/>
      <c r="HJ57" s="37"/>
      <c r="HK57" s="37"/>
      <c r="HL57" s="37"/>
      <c r="HM57" s="37"/>
      <c r="HN57" s="37"/>
      <c r="HO57" s="37"/>
      <c r="HP57" s="37"/>
      <c r="HQ57" s="37"/>
      <c r="HR57" s="37"/>
      <c r="HS57" s="37"/>
      <c r="HT57" s="37"/>
      <c r="HU57" s="37"/>
      <c r="HV57" s="37"/>
      <c r="HW57" s="37"/>
      <c r="HX57" s="37"/>
      <c r="HY57" s="37"/>
      <c r="HZ57" s="37"/>
      <c r="IA57" s="37"/>
      <c r="IB57" s="37"/>
      <c r="IC57" s="37"/>
      <c r="ID57" s="37"/>
      <c r="IE57" s="37"/>
      <c r="IF57" s="37"/>
      <c r="IG57" s="37"/>
      <c r="IH57" s="37"/>
      <c r="II57" s="37"/>
      <c r="IJ57" s="37"/>
      <c r="IK57" s="37"/>
      <c r="IL57" s="37"/>
      <c r="IM57" s="37"/>
      <c r="IN57" s="37"/>
      <c r="IO57" s="37"/>
      <c r="IP57" s="37"/>
      <c r="IQ57" s="37"/>
      <c r="IR57" s="37"/>
      <c r="IS57" s="37"/>
      <c r="IT57" s="37"/>
    </row>
    <row r="58" spans="1:254" ht="37.5" customHeight="1" x14ac:dyDescent="0.3">
      <c r="A58" s="48" t="s">
        <v>326</v>
      </c>
      <c r="B58" s="92" t="s">
        <v>169</v>
      </c>
      <c r="C58" s="92" t="s">
        <v>119</v>
      </c>
      <c r="D58" s="44" t="s">
        <v>49</v>
      </c>
      <c r="E58" s="44" t="s">
        <v>50</v>
      </c>
      <c r="F58" s="45">
        <f>'В-25'!G1501</f>
        <v>464</v>
      </c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7"/>
      <c r="BZ58" s="37"/>
      <c r="CA58" s="37"/>
      <c r="CB58" s="37"/>
      <c r="CC58" s="37"/>
      <c r="CD58" s="37"/>
      <c r="CE58" s="37"/>
      <c r="CF58" s="37"/>
      <c r="CG58" s="37"/>
      <c r="CH58" s="37"/>
      <c r="CI58" s="37"/>
      <c r="CJ58" s="37"/>
      <c r="CK58" s="37"/>
      <c r="CL58" s="37"/>
      <c r="CM58" s="37"/>
      <c r="CN58" s="37"/>
      <c r="CO58" s="37"/>
      <c r="CP58" s="37"/>
      <c r="CQ58" s="37"/>
      <c r="CR58" s="37"/>
      <c r="CS58" s="37"/>
      <c r="CT58" s="37"/>
      <c r="CU58" s="37"/>
      <c r="CV58" s="37"/>
      <c r="CW58" s="37"/>
      <c r="CX58" s="37"/>
      <c r="CY58" s="37"/>
      <c r="CZ58" s="37"/>
      <c r="DA58" s="37"/>
      <c r="DB58" s="37"/>
      <c r="DC58" s="37"/>
      <c r="DD58" s="37"/>
      <c r="DE58" s="37"/>
      <c r="DF58" s="37"/>
      <c r="DG58" s="37"/>
      <c r="DH58" s="37"/>
      <c r="DI58" s="37"/>
      <c r="DJ58" s="37"/>
      <c r="DK58" s="37"/>
      <c r="DL58" s="37"/>
      <c r="DM58" s="37"/>
      <c r="DN58" s="37"/>
      <c r="DO58" s="37"/>
      <c r="DP58" s="37"/>
      <c r="DQ58" s="37"/>
      <c r="DR58" s="37"/>
      <c r="DS58" s="37"/>
      <c r="DT58" s="37"/>
      <c r="DU58" s="37"/>
      <c r="DV58" s="37"/>
      <c r="DW58" s="37"/>
      <c r="DX58" s="37"/>
      <c r="DY58" s="37"/>
      <c r="DZ58" s="37"/>
      <c r="EA58" s="37"/>
      <c r="EB58" s="37"/>
      <c r="EC58" s="37"/>
      <c r="ED58" s="37"/>
      <c r="EE58" s="37"/>
      <c r="EF58" s="37"/>
      <c r="EG58" s="37"/>
      <c r="EH58" s="37"/>
      <c r="EI58" s="37"/>
      <c r="EJ58" s="37"/>
      <c r="EK58" s="37"/>
      <c r="EL58" s="37"/>
      <c r="EM58" s="37"/>
      <c r="EN58" s="37"/>
      <c r="EO58" s="37"/>
      <c r="EP58" s="37"/>
      <c r="EQ58" s="37"/>
      <c r="ER58" s="37"/>
      <c r="ES58" s="37"/>
      <c r="ET58" s="37"/>
      <c r="EU58" s="37"/>
      <c r="EV58" s="37"/>
      <c r="EW58" s="37"/>
      <c r="EX58" s="37"/>
      <c r="EY58" s="37"/>
      <c r="EZ58" s="37"/>
      <c r="FA58" s="37"/>
      <c r="FB58" s="37"/>
      <c r="FC58" s="37"/>
      <c r="FD58" s="37"/>
      <c r="FE58" s="37"/>
      <c r="FF58" s="37"/>
      <c r="FG58" s="37"/>
      <c r="FH58" s="37"/>
      <c r="FI58" s="37"/>
      <c r="FJ58" s="37"/>
      <c r="FK58" s="37"/>
      <c r="FL58" s="37"/>
      <c r="FM58" s="37"/>
      <c r="FN58" s="37"/>
      <c r="FO58" s="37"/>
      <c r="FP58" s="37"/>
      <c r="FQ58" s="37"/>
      <c r="FR58" s="37"/>
      <c r="FS58" s="37"/>
      <c r="FT58" s="37"/>
      <c r="FU58" s="37"/>
      <c r="FV58" s="37"/>
      <c r="FW58" s="37"/>
      <c r="FX58" s="37"/>
      <c r="FY58" s="37"/>
      <c r="FZ58" s="37"/>
      <c r="GA58" s="37"/>
      <c r="GB58" s="37"/>
      <c r="GC58" s="37"/>
      <c r="GD58" s="37"/>
      <c r="GE58" s="37"/>
      <c r="GF58" s="37"/>
      <c r="GG58" s="37"/>
      <c r="GH58" s="37"/>
      <c r="GI58" s="37"/>
      <c r="GJ58" s="37"/>
      <c r="GK58" s="37"/>
      <c r="GL58" s="37"/>
      <c r="GM58" s="37"/>
      <c r="GN58" s="37"/>
      <c r="GO58" s="37"/>
      <c r="GP58" s="37"/>
      <c r="GQ58" s="37"/>
      <c r="GR58" s="37"/>
      <c r="GS58" s="37"/>
      <c r="GT58" s="37"/>
      <c r="GU58" s="37"/>
      <c r="GV58" s="37"/>
      <c r="GW58" s="37"/>
      <c r="GX58" s="37"/>
      <c r="GY58" s="37"/>
      <c r="GZ58" s="37"/>
      <c r="HA58" s="37"/>
      <c r="HB58" s="37"/>
      <c r="HC58" s="37"/>
      <c r="HD58" s="37"/>
      <c r="HE58" s="37"/>
      <c r="HF58" s="37"/>
      <c r="HG58" s="37"/>
      <c r="HH58" s="37"/>
      <c r="HI58" s="37"/>
      <c r="HJ58" s="37"/>
      <c r="HK58" s="37"/>
      <c r="HL58" s="37"/>
      <c r="HM58" s="37"/>
      <c r="HN58" s="37"/>
      <c r="HO58" s="37"/>
      <c r="HP58" s="37"/>
      <c r="HQ58" s="37"/>
      <c r="HR58" s="37"/>
      <c r="HS58" s="37"/>
      <c r="HT58" s="37"/>
      <c r="HU58" s="37"/>
      <c r="HV58" s="37"/>
      <c r="HW58" s="37"/>
      <c r="HX58" s="37"/>
      <c r="HY58" s="37"/>
      <c r="HZ58" s="37"/>
      <c r="IA58" s="37"/>
      <c r="IB58" s="37"/>
      <c r="IC58" s="37"/>
      <c r="ID58" s="37"/>
      <c r="IE58" s="37"/>
      <c r="IF58" s="37"/>
      <c r="IG58" s="37"/>
      <c r="IH58" s="37"/>
      <c r="II58" s="37"/>
      <c r="IJ58" s="37"/>
      <c r="IK58" s="37"/>
      <c r="IL58" s="37"/>
      <c r="IM58" s="37"/>
      <c r="IN58" s="37"/>
      <c r="IO58" s="37"/>
      <c r="IP58" s="37"/>
      <c r="IQ58" s="37"/>
      <c r="IR58" s="37"/>
      <c r="IS58" s="37"/>
      <c r="IT58" s="37"/>
    </row>
    <row r="59" spans="1:254" ht="18.75" x14ac:dyDescent="0.3">
      <c r="A59" s="55" t="s">
        <v>329</v>
      </c>
      <c r="B59" s="56">
        <v>11</v>
      </c>
      <c r="C59" s="44" t="s">
        <v>112</v>
      </c>
      <c r="D59" s="44" t="s">
        <v>49</v>
      </c>
      <c r="E59" s="44" t="s">
        <v>50</v>
      </c>
      <c r="F59" s="45">
        <f>F60+F61</f>
        <v>124898.3</v>
      </c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7"/>
      <c r="BG59" s="37"/>
      <c r="BH59" s="37"/>
      <c r="BI59" s="37"/>
      <c r="BJ59" s="37"/>
      <c r="BK59" s="37"/>
      <c r="BL59" s="37"/>
      <c r="BM59" s="37"/>
      <c r="BN59" s="37"/>
      <c r="BO59" s="37"/>
      <c r="BP59" s="37"/>
      <c r="BQ59" s="37"/>
      <c r="BR59" s="37"/>
      <c r="BS59" s="37"/>
      <c r="BT59" s="37"/>
      <c r="BU59" s="37"/>
      <c r="BV59" s="37"/>
      <c r="BW59" s="37"/>
      <c r="BX59" s="37"/>
      <c r="BY59" s="37"/>
      <c r="BZ59" s="37"/>
      <c r="CA59" s="37"/>
      <c r="CB59" s="37"/>
      <c r="CC59" s="37"/>
      <c r="CD59" s="37"/>
      <c r="CE59" s="37"/>
      <c r="CF59" s="37"/>
      <c r="CG59" s="37"/>
      <c r="CH59" s="37"/>
      <c r="CI59" s="37"/>
      <c r="CJ59" s="37"/>
      <c r="CK59" s="37"/>
      <c r="CL59" s="37"/>
      <c r="CM59" s="37"/>
      <c r="CN59" s="37"/>
      <c r="CO59" s="37"/>
      <c r="CP59" s="37"/>
      <c r="CQ59" s="37"/>
      <c r="CR59" s="37"/>
      <c r="CS59" s="37"/>
      <c r="CT59" s="37"/>
      <c r="CU59" s="37"/>
      <c r="CV59" s="37"/>
      <c r="CW59" s="37"/>
      <c r="CX59" s="37"/>
      <c r="CY59" s="37"/>
      <c r="CZ59" s="37"/>
      <c r="DA59" s="37"/>
      <c r="DB59" s="37"/>
      <c r="DC59" s="37"/>
      <c r="DD59" s="37"/>
      <c r="DE59" s="37"/>
      <c r="DF59" s="37"/>
      <c r="DG59" s="37"/>
      <c r="DH59" s="37"/>
      <c r="DI59" s="37"/>
      <c r="DJ59" s="37"/>
      <c r="DK59" s="37"/>
      <c r="DL59" s="37"/>
      <c r="DM59" s="37"/>
      <c r="DN59" s="37"/>
      <c r="DO59" s="37"/>
      <c r="DP59" s="37"/>
      <c r="DQ59" s="37"/>
      <c r="DR59" s="37"/>
      <c r="DS59" s="37"/>
      <c r="DT59" s="37"/>
      <c r="DU59" s="37"/>
      <c r="DV59" s="37"/>
      <c r="DW59" s="37"/>
      <c r="DX59" s="37"/>
      <c r="DY59" s="37"/>
      <c r="DZ59" s="37"/>
      <c r="EA59" s="37"/>
      <c r="EB59" s="37"/>
      <c r="EC59" s="37"/>
      <c r="ED59" s="37"/>
      <c r="EE59" s="37"/>
      <c r="EF59" s="37"/>
      <c r="EG59" s="37"/>
      <c r="EH59" s="37"/>
      <c r="EI59" s="37"/>
      <c r="EJ59" s="37"/>
      <c r="EK59" s="37"/>
      <c r="EL59" s="37"/>
      <c r="EM59" s="37"/>
      <c r="EN59" s="37"/>
      <c r="EO59" s="37"/>
      <c r="EP59" s="37"/>
      <c r="EQ59" s="37"/>
      <c r="ER59" s="37"/>
      <c r="ES59" s="37"/>
      <c r="ET59" s="37"/>
      <c r="EU59" s="37"/>
      <c r="EV59" s="37"/>
      <c r="EW59" s="37"/>
      <c r="EX59" s="37"/>
      <c r="EY59" s="37"/>
      <c r="EZ59" s="37"/>
      <c r="FA59" s="37"/>
      <c r="FB59" s="37"/>
      <c r="FC59" s="37"/>
      <c r="FD59" s="37"/>
      <c r="FE59" s="37"/>
      <c r="FF59" s="37"/>
      <c r="FG59" s="37"/>
      <c r="FH59" s="37"/>
      <c r="FI59" s="37"/>
      <c r="FJ59" s="37"/>
      <c r="FK59" s="37"/>
      <c r="FL59" s="37"/>
      <c r="FM59" s="37"/>
      <c r="FN59" s="37"/>
      <c r="FO59" s="37"/>
      <c r="FP59" s="37"/>
      <c r="FQ59" s="37"/>
      <c r="FR59" s="37"/>
      <c r="FS59" s="37"/>
      <c r="FT59" s="37"/>
      <c r="FU59" s="37"/>
      <c r="FV59" s="37"/>
      <c r="FW59" s="37"/>
      <c r="FX59" s="37"/>
      <c r="FY59" s="37"/>
      <c r="FZ59" s="37"/>
      <c r="GA59" s="37"/>
      <c r="GB59" s="37"/>
      <c r="GC59" s="37"/>
      <c r="GD59" s="37"/>
      <c r="GE59" s="37"/>
      <c r="GF59" s="37"/>
      <c r="GG59" s="37"/>
      <c r="GH59" s="37"/>
      <c r="GI59" s="37"/>
      <c r="GJ59" s="37"/>
      <c r="GK59" s="37"/>
      <c r="GL59" s="37"/>
      <c r="GM59" s="37"/>
      <c r="GN59" s="37"/>
      <c r="GO59" s="37"/>
      <c r="GP59" s="37"/>
      <c r="GQ59" s="37"/>
      <c r="GR59" s="37"/>
      <c r="GS59" s="37"/>
      <c r="GT59" s="37"/>
      <c r="GU59" s="37"/>
      <c r="GV59" s="37"/>
      <c r="GW59" s="37"/>
      <c r="GX59" s="37"/>
      <c r="GY59" s="37"/>
      <c r="GZ59" s="37"/>
      <c r="HA59" s="37"/>
      <c r="HB59" s="37"/>
      <c r="HC59" s="37"/>
      <c r="HD59" s="37"/>
      <c r="HE59" s="37"/>
      <c r="HF59" s="37"/>
      <c r="HG59" s="37"/>
      <c r="HH59" s="37"/>
      <c r="HI59" s="37"/>
      <c r="HJ59" s="37"/>
      <c r="HK59" s="37"/>
      <c r="HL59" s="37"/>
      <c r="HM59" s="37"/>
      <c r="HN59" s="37"/>
      <c r="HO59" s="37"/>
      <c r="HP59" s="37"/>
      <c r="HQ59" s="37"/>
      <c r="HR59" s="37"/>
      <c r="HS59" s="37"/>
      <c r="HT59" s="37"/>
      <c r="HU59" s="37"/>
      <c r="HV59" s="37"/>
      <c r="HW59" s="37"/>
      <c r="HX59" s="37"/>
      <c r="HY59" s="37"/>
      <c r="HZ59" s="37"/>
      <c r="IA59" s="37"/>
      <c r="IB59" s="37"/>
      <c r="IC59" s="37"/>
      <c r="ID59" s="37"/>
      <c r="IE59" s="37"/>
      <c r="IF59" s="37"/>
      <c r="IG59" s="37"/>
      <c r="IH59" s="37"/>
      <c r="II59" s="37"/>
      <c r="IJ59" s="37"/>
      <c r="IK59" s="37"/>
      <c r="IL59" s="37"/>
      <c r="IM59" s="37"/>
      <c r="IN59" s="37"/>
      <c r="IO59" s="37"/>
      <c r="IP59" s="37"/>
      <c r="IQ59" s="37"/>
      <c r="IR59" s="37"/>
      <c r="IS59" s="37"/>
      <c r="IT59" s="37"/>
    </row>
    <row r="60" spans="1:254" ht="18.75" x14ac:dyDescent="0.3">
      <c r="A60" s="55" t="s">
        <v>330</v>
      </c>
      <c r="B60" s="56">
        <v>11</v>
      </c>
      <c r="C60" s="44" t="s">
        <v>116</v>
      </c>
      <c r="D60" s="44" t="s">
        <v>49</v>
      </c>
      <c r="E60" s="44" t="s">
        <v>50</v>
      </c>
      <c r="F60" s="45">
        <f>'В-25'!G1508</f>
        <v>0</v>
      </c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37"/>
      <c r="BS60" s="37"/>
      <c r="BT60" s="37"/>
      <c r="BU60" s="37"/>
      <c r="BV60" s="37"/>
      <c r="BW60" s="37"/>
      <c r="BX60" s="37"/>
      <c r="BY60" s="37"/>
      <c r="BZ60" s="37"/>
      <c r="CA60" s="37"/>
      <c r="CB60" s="37"/>
      <c r="CC60" s="37"/>
      <c r="CD60" s="37"/>
      <c r="CE60" s="37"/>
      <c r="CF60" s="37"/>
      <c r="CG60" s="37"/>
      <c r="CH60" s="37"/>
      <c r="CI60" s="37"/>
      <c r="CJ60" s="37"/>
      <c r="CK60" s="37"/>
      <c r="CL60" s="37"/>
      <c r="CM60" s="37"/>
      <c r="CN60" s="37"/>
      <c r="CO60" s="37"/>
      <c r="CP60" s="37"/>
      <c r="CQ60" s="37"/>
      <c r="CR60" s="37"/>
      <c r="CS60" s="37"/>
      <c r="CT60" s="37"/>
      <c r="CU60" s="37"/>
      <c r="CV60" s="37"/>
      <c r="CW60" s="37"/>
      <c r="CX60" s="37"/>
      <c r="CY60" s="37"/>
      <c r="CZ60" s="37"/>
      <c r="DA60" s="37"/>
      <c r="DB60" s="37"/>
      <c r="DC60" s="37"/>
      <c r="DD60" s="37"/>
      <c r="DE60" s="37"/>
      <c r="DF60" s="37"/>
      <c r="DG60" s="37"/>
      <c r="DH60" s="37"/>
      <c r="DI60" s="37"/>
      <c r="DJ60" s="37"/>
      <c r="DK60" s="37"/>
      <c r="DL60" s="37"/>
      <c r="DM60" s="37"/>
      <c r="DN60" s="37"/>
      <c r="DO60" s="37"/>
      <c r="DP60" s="37"/>
      <c r="DQ60" s="37"/>
      <c r="DR60" s="37"/>
      <c r="DS60" s="37"/>
      <c r="DT60" s="37"/>
      <c r="DU60" s="37"/>
      <c r="DV60" s="37"/>
      <c r="DW60" s="37"/>
      <c r="DX60" s="37"/>
      <c r="DY60" s="37"/>
      <c r="DZ60" s="37"/>
      <c r="EA60" s="37"/>
      <c r="EB60" s="37"/>
      <c r="EC60" s="37"/>
      <c r="ED60" s="37"/>
      <c r="EE60" s="37"/>
      <c r="EF60" s="37"/>
      <c r="EG60" s="37"/>
      <c r="EH60" s="37"/>
      <c r="EI60" s="37"/>
      <c r="EJ60" s="37"/>
      <c r="EK60" s="37"/>
      <c r="EL60" s="37"/>
      <c r="EM60" s="37"/>
      <c r="EN60" s="37"/>
      <c r="EO60" s="37"/>
      <c r="EP60" s="37"/>
      <c r="EQ60" s="37"/>
      <c r="ER60" s="37"/>
      <c r="ES60" s="37"/>
      <c r="ET60" s="37"/>
      <c r="EU60" s="37"/>
      <c r="EV60" s="37"/>
      <c r="EW60" s="37"/>
      <c r="EX60" s="37"/>
      <c r="EY60" s="37"/>
      <c r="EZ60" s="37"/>
      <c r="FA60" s="37"/>
      <c r="FB60" s="37"/>
      <c r="FC60" s="37"/>
      <c r="FD60" s="37"/>
      <c r="FE60" s="37"/>
      <c r="FF60" s="37"/>
      <c r="FG60" s="37"/>
      <c r="FH60" s="37"/>
      <c r="FI60" s="37"/>
      <c r="FJ60" s="37"/>
      <c r="FK60" s="37"/>
      <c r="FL60" s="37"/>
      <c r="FM60" s="37"/>
      <c r="FN60" s="37"/>
      <c r="FO60" s="37"/>
      <c r="FP60" s="37"/>
      <c r="FQ60" s="37"/>
      <c r="FR60" s="37"/>
      <c r="FS60" s="37"/>
      <c r="FT60" s="37"/>
      <c r="FU60" s="37"/>
      <c r="FV60" s="37"/>
      <c r="FW60" s="37"/>
      <c r="FX60" s="37"/>
      <c r="FY60" s="37"/>
      <c r="FZ60" s="37"/>
      <c r="GA60" s="37"/>
      <c r="GB60" s="37"/>
      <c r="GC60" s="37"/>
      <c r="GD60" s="37"/>
      <c r="GE60" s="37"/>
      <c r="GF60" s="37"/>
      <c r="GG60" s="37"/>
      <c r="GH60" s="37"/>
      <c r="GI60" s="37"/>
      <c r="GJ60" s="37"/>
      <c r="GK60" s="37"/>
      <c r="GL60" s="37"/>
      <c r="GM60" s="37"/>
      <c r="GN60" s="37"/>
      <c r="GO60" s="37"/>
      <c r="GP60" s="37"/>
      <c r="GQ60" s="37"/>
      <c r="GR60" s="37"/>
      <c r="GS60" s="37"/>
      <c r="GT60" s="37"/>
      <c r="GU60" s="37"/>
      <c r="GV60" s="37"/>
      <c r="GW60" s="37"/>
      <c r="GX60" s="37"/>
      <c r="GY60" s="37"/>
      <c r="GZ60" s="37"/>
      <c r="HA60" s="37"/>
      <c r="HB60" s="37"/>
      <c r="HC60" s="37"/>
      <c r="HD60" s="37"/>
      <c r="HE60" s="37"/>
      <c r="HF60" s="37"/>
      <c r="HG60" s="37"/>
      <c r="HH60" s="37"/>
      <c r="HI60" s="37"/>
      <c r="HJ60" s="37"/>
      <c r="HK60" s="37"/>
      <c r="HL60" s="37"/>
      <c r="HM60" s="37"/>
      <c r="HN60" s="37"/>
      <c r="HO60" s="37"/>
      <c r="HP60" s="37"/>
      <c r="HQ60" s="37"/>
      <c r="HR60" s="37"/>
      <c r="HS60" s="37"/>
      <c r="HT60" s="37"/>
      <c r="HU60" s="37"/>
      <c r="HV60" s="37"/>
      <c r="HW60" s="37"/>
      <c r="HX60" s="37"/>
      <c r="HY60" s="37"/>
      <c r="HZ60" s="37"/>
      <c r="IA60" s="37"/>
      <c r="IB60" s="37"/>
      <c r="IC60" s="37"/>
      <c r="ID60" s="37"/>
      <c r="IE60" s="37"/>
      <c r="IF60" s="37"/>
      <c r="IG60" s="37"/>
      <c r="IH60" s="37"/>
      <c r="II60" s="37"/>
      <c r="IJ60" s="37"/>
      <c r="IK60" s="37"/>
      <c r="IL60" s="37"/>
      <c r="IM60" s="37"/>
      <c r="IN60" s="37"/>
      <c r="IO60" s="37"/>
      <c r="IP60" s="37"/>
      <c r="IQ60" s="37"/>
      <c r="IR60" s="37"/>
      <c r="IS60" s="37"/>
      <c r="IT60" s="37"/>
    </row>
    <row r="61" spans="1:254" ht="18.75" x14ac:dyDescent="0.3">
      <c r="A61" s="55" t="s">
        <v>334</v>
      </c>
      <c r="B61" s="56">
        <v>11</v>
      </c>
      <c r="C61" s="44" t="s">
        <v>117</v>
      </c>
      <c r="D61" s="44" t="s">
        <v>49</v>
      </c>
      <c r="E61" s="44" t="s">
        <v>50</v>
      </c>
      <c r="F61" s="45">
        <f>'В-25'!G1534</f>
        <v>124898.3</v>
      </c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  <c r="BI61" s="37"/>
      <c r="BJ61" s="37"/>
      <c r="BK61" s="37"/>
      <c r="BL61" s="37"/>
      <c r="BM61" s="37"/>
      <c r="BN61" s="37"/>
      <c r="BO61" s="37"/>
      <c r="BP61" s="37"/>
      <c r="BQ61" s="37"/>
      <c r="BR61" s="37"/>
      <c r="BS61" s="37"/>
      <c r="BT61" s="37"/>
      <c r="BU61" s="37"/>
      <c r="BV61" s="37"/>
      <c r="BW61" s="37"/>
      <c r="BX61" s="37"/>
      <c r="BY61" s="37"/>
      <c r="BZ61" s="37"/>
      <c r="CA61" s="37"/>
      <c r="CB61" s="37"/>
      <c r="CC61" s="37"/>
      <c r="CD61" s="37"/>
      <c r="CE61" s="37"/>
      <c r="CF61" s="37"/>
      <c r="CG61" s="37"/>
      <c r="CH61" s="37"/>
      <c r="CI61" s="37"/>
      <c r="CJ61" s="37"/>
      <c r="CK61" s="37"/>
      <c r="CL61" s="37"/>
      <c r="CM61" s="37"/>
      <c r="CN61" s="37"/>
      <c r="CO61" s="37"/>
      <c r="CP61" s="37"/>
      <c r="CQ61" s="37"/>
      <c r="CR61" s="37"/>
      <c r="CS61" s="37"/>
      <c r="CT61" s="37"/>
      <c r="CU61" s="37"/>
      <c r="CV61" s="37"/>
      <c r="CW61" s="37"/>
      <c r="CX61" s="37"/>
      <c r="CY61" s="37"/>
      <c r="CZ61" s="37"/>
      <c r="DA61" s="37"/>
      <c r="DB61" s="37"/>
      <c r="DC61" s="37"/>
      <c r="DD61" s="37"/>
      <c r="DE61" s="37"/>
      <c r="DF61" s="37"/>
      <c r="DG61" s="37"/>
      <c r="DH61" s="37"/>
      <c r="DI61" s="37"/>
      <c r="DJ61" s="37"/>
      <c r="DK61" s="37"/>
      <c r="DL61" s="37"/>
      <c r="DM61" s="37"/>
      <c r="DN61" s="37"/>
      <c r="DO61" s="37"/>
      <c r="DP61" s="37"/>
      <c r="DQ61" s="37"/>
      <c r="DR61" s="37"/>
      <c r="DS61" s="37"/>
      <c r="DT61" s="37"/>
      <c r="DU61" s="37"/>
      <c r="DV61" s="37"/>
      <c r="DW61" s="37"/>
      <c r="DX61" s="37"/>
      <c r="DY61" s="37"/>
      <c r="DZ61" s="37"/>
      <c r="EA61" s="37"/>
      <c r="EB61" s="37"/>
      <c r="EC61" s="37"/>
      <c r="ED61" s="37"/>
      <c r="EE61" s="37"/>
      <c r="EF61" s="37"/>
      <c r="EG61" s="37"/>
      <c r="EH61" s="37"/>
      <c r="EI61" s="37"/>
      <c r="EJ61" s="37"/>
      <c r="EK61" s="37"/>
      <c r="EL61" s="37"/>
      <c r="EM61" s="37"/>
      <c r="EN61" s="37"/>
      <c r="EO61" s="37"/>
      <c r="EP61" s="37"/>
      <c r="EQ61" s="37"/>
      <c r="ER61" s="37"/>
      <c r="ES61" s="37"/>
      <c r="ET61" s="37"/>
      <c r="EU61" s="37"/>
      <c r="EV61" s="37"/>
      <c r="EW61" s="37"/>
      <c r="EX61" s="37"/>
      <c r="EY61" s="37"/>
      <c r="EZ61" s="37"/>
      <c r="FA61" s="37"/>
      <c r="FB61" s="37"/>
      <c r="FC61" s="37"/>
      <c r="FD61" s="37"/>
      <c r="FE61" s="37"/>
      <c r="FF61" s="37"/>
      <c r="FG61" s="37"/>
      <c r="FH61" s="37"/>
      <c r="FI61" s="37"/>
      <c r="FJ61" s="37"/>
      <c r="FK61" s="37"/>
      <c r="FL61" s="37"/>
      <c r="FM61" s="37"/>
      <c r="FN61" s="37"/>
      <c r="FO61" s="37"/>
      <c r="FP61" s="37"/>
      <c r="FQ61" s="37"/>
      <c r="FR61" s="37"/>
      <c r="FS61" s="37"/>
      <c r="FT61" s="37"/>
      <c r="FU61" s="37"/>
      <c r="FV61" s="37"/>
      <c r="FW61" s="37"/>
      <c r="FX61" s="37"/>
      <c r="FY61" s="37"/>
      <c r="FZ61" s="37"/>
      <c r="GA61" s="37"/>
      <c r="GB61" s="37"/>
      <c r="GC61" s="37"/>
      <c r="GD61" s="37"/>
      <c r="GE61" s="37"/>
      <c r="GF61" s="37"/>
      <c r="GG61" s="37"/>
      <c r="GH61" s="37"/>
      <c r="GI61" s="37"/>
      <c r="GJ61" s="37"/>
      <c r="GK61" s="37"/>
      <c r="GL61" s="37"/>
      <c r="GM61" s="37"/>
      <c r="GN61" s="37"/>
      <c r="GO61" s="37"/>
      <c r="GP61" s="37"/>
      <c r="GQ61" s="37"/>
      <c r="GR61" s="37"/>
      <c r="GS61" s="37"/>
      <c r="GT61" s="37"/>
      <c r="GU61" s="37"/>
      <c r="GV61" s="37"/>
      <c r="GW61" s="37"/>
      <c r="GX61" s="37"/>
      <c r="GY61" s="37"/>
      <c r="GZ61" s="37"/>
      <c r="HA61" s="37"/>
      <c r="HB61" s="37"/>
      <c r="HC61" s="37"/>
      <c r="HD61" s="37"/>
      <c r="HE61" s="37"/>
      <c r="HF61" s="37"/>
      <c r="HG61" s="37"/>
      <c r="HH61" s="37"/>
      <c r="HI61" s="37"/>
      <c r="HJ61" s="37"/>
      <c r="HK61" s="37"/>
      <c r="HL61" s="37"/>
      <c r="HM61" s="37"/>
      <c r="HN61" s="37"/>
      <c r="HO61" s="37"/>
      <c r="HP61" s="37"/>
      <c r="HQ61" s="37"/>
      <c r="HR61" s="37"/>
      <c r="HS61" s="37"/>
      <c r="HT61" s="37"/>
      <c r="HU61" s="37"/>
      <c r="HV61" s="37"/>
      <c r="HW61" s="37"/>
      <c r="HX61" s="37"/>
      <c r="HY61" s="37"/>
      <c r="HZ61" s="37"/>
      <c r="IA61" s="37"/>
      <c r="IB61" s="37"/>
      <c r="IC61" s="37"/>
      <c r="ID61" s="37"/>
      <c r="IE61" s="37"/>
      <c r="IF61" s="37"/>
      <c r="IG61" s="37"/>
      <c r="IH61" s="37"/>
      <c r="II61" s="37"/>
      <c r="IJ61" s="37"/>
      <c r="IK61" s="37"/>
      <c r="IL61" s="37"/>
      <c r="IM61" s="37"/>
      <c r="IN61" s="37"/>
      <c r="IO61" s="37"/>
      <c r="IP61" s="37"/>
      <c r="IQ61" s="37"/>
      <c r="IR61" s="37"/>
      <c r="IS61" s="37"/>
      <c r="IT61" s="37"/>
    </row>
    <row r="62" spans="1:254" ht="37.5" x14ac:dyDescent="0.3">
      <c r="A62" s="48" t="s">
        <v>186</v>
      </c>
      <c r="B62" s="44">
        <v>13</v>
      </c>
      <c r="C62" s="44" t="s">
        <v>112</v>
      </c>
      <c r="D62" s="44" t="s">
        <v>49</v>
      </c>
      <c r="E62" s="44" t="s">
        <v>50</v>
      </c>
      <c r="F62" s="45">
        <f>F63</f>
        <v>17367.900000000001</v>
      </c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7"/>
      <c r="BG62" s="37"/>
      <c r="BH62" s="37"/>
      <c r="BI62" s="37"/>
      <c r="BJ62" s="37"/>
      <c r="BK62" s="37"/>
      <c r="BL62" s="37"/>
      <c r="BM62" s="37"/>
      <c r="BN62" s="37"/>
      <c r="BO62" s="37"/>
      <c r="BP62" s="37"/>
      <c r="BQ62" s="37"/>
      <c r="BR62" s="37"/>
      <c r="BS62" s="37"/>
      <c r="BT62" s="37"/>
      <c r="BU62" s="37"/>
      <c r="BV62" s="37"/>
      <c r="BW62" s="37"/>
      <c r="BX62" s="37"/>
      <c r="BY62" s="37"/>
      <c r="BZ62" s="37"/>
      <c r="CA62" s="37"/>
      <c r="CB62" s="37"/>
      <c r="CC62" s="37"/>
      <c r="CD62" s="37"/>
      <c r="CE62" s="37"/>
      <c r="CF62" s="37"/>
      <c r="CG62" s="37"/>
      <c r="CH62" s="37"/>
      <c r="CI62" s="37"/>
      <c r="CJ62" s="37"/>
      <c r="CK62" s="37"/>
      <c r="CL62" s="37"/>
      <c r="CM62" s="37"/>
      <c r="CN62" s="37"/>
      <c r="CO62" s="37"/>
      <c r="CP62" s="37"/>
      <c r="CQ62" s="37"/>
      <c r="CR62" s="37"/>
      <c r="CS62" s="37"/>
      <c r="CT62" s="37"/>
      <c r="CU62" s="37"/>
      <c r="CV62" s="37"/>
      <c r="CW62" s="37"/>
      <c r="CX62" s="37"/>
      <c r="CY62" s="37"/>
      <c r="CZ62" s="37"/>
      <c r="DA62" s="37"/>
      <c r="DB62" s="37"/>
      <c r="DC62" s="37"/>
      <c r="DD62" s="37"/>
      <c r="DE62" s="37"/>
      <c r="DF62" s="37"/>
      <c r="DG62" s="37"/>
      <c r="DH62" s="37"/>
      <c r="DI62" s="37"/>
      <c r="DJ62" s="37"/>
      <c r="DK62" s="37"/>
      <c r="DL62" s="37"/>
      <c r="DM62" s="37"/>
      <c r="DN62" s="37"/>
      <c r="DO62" s="37"/>
      <c r="DP62" s="37"/>
      <c r="DQ62" s="37"/>
      <c r="DR62" s="37"/>
      <c r="DS62" s="37"/>
      <c r="DT62" s="37"/>
      <c r="DU62" s="37"/>
      <c r="DV62" s="37"/>
      <c r="DW62" s="37"/>
      <c r="DX62" s="37"/>
      <c r="DY62" s="37"/>
      <c r="DZ62" s="37"/>
      <c r="EA62" s="37"/>
      <c r="EB62" s="37"/>
      <c r="EC62" s="37"/>
      <c r="ED62" s="37"/>
      <c r="EE62" s="37"/>
      <c r="EF62" s="37"/>
      <c r="EG62" s="37"/>
      <c r="EH62" s="37"/>
      <c r="EI62" s="37"/>
      <c r="EJ62" s="37"/>
      <c r="EK62" s="37"/>
      <c r="EL62" s="37"/>
      <c r="EM62" s="37"/>
      <c r="EN62" s="37"/>
      <c r="EO62" s="37"/>
      <c r="EP62" s="37"/>
      <c r="EQ62" s="37"/>
      <c r="ER62" s="37"/>
      <c r="ES62" s="37"/>
      <c r="ET62" s="37"/>
      <c r="EU62" s="37"/>
      <c r="EV62" s="37"/>
      <c r="EW62" s="37"/>
      <c r="EX62" s="37"/>
      <c r="EY62" s="37"/>
      <c r="EZ62" s="37"/>
      <c r="FA62" s="37"/>
      <c r="FB62" s="37"/>
      <c r="FC62" s="37"/>
      <c r="FD62" s="37"/>
      <c r="FE62" s="37"/>
      <c r="FF62" s="37"/>
      <c r="FG62" s="37"/>
      <c r="FH62" s="37"/>
      <c r="FI62" s="37"/>
      <c r="FJ62" s="37"/>
      <c r="FK62" s="37"/>
      <c r="FL62" s="37"/>
      <c r="FM62" s="37"/>
      <c r="FN62" s="37"/>
      <c r="FO62" s="37"/>
      <c r="FP62" s="37"/>
      <c r="FQ62" s="37"/>
      <c r="FR62" s="37"/>
      <c r="FS62" s="37"/>
      <c r="FT62" s="37"/>
      <c r="FU62" s="37"/>
      <c r="FV62" s="37"/>
      <c r="FW62" s="37"/>
      <c r="FX62" s="37"/>
      <c r="FY62" s="37"/>
      <c r="FZ62" s="37"/>
      <c r="GA62" s="37"/>
      <c r="GB62" s="37"/>
      <c r="GC62" s="37"/>
      <c r="GD62" s="37"/>
      <c r="GE62" s="37"/>
      <c r="GF62" s="37"/>
      <c r="GG62" s="37"/>
      <c r="GH62" s="37"/>
      <c r="GI62" s="37"/>
      <c r="GJ62" s="37"/>
      <c r="GK62" s="37"/>
      <c r="GL62" s="37"/>
      <c r="GM62" s="37"/>
      <c r="GN62" s="37"/>
      <c r="GO62" s="37"/>
      <c r="GP62" s="37"/>
      <c r="GQ62" s="37"/>
      <c r="GR62" s="37"/>
      <c r="GS62" s="37"/>
      <c r="GT62" s="37"/>
      <c r="GU62" s="37"/>
      <c r="GV62" s="37"/>
      <c r="GW62" s="37"/>
      <c r="GX62" s="37"/>
      <c r="GY62" s="37"/>
      <c r="GZ62" s="37"/>
      <c r="HA62" s="37"/>
      <c r="HB62" s="37"/>
      <c r="HC62" s="37"/>
      <c r="HD62" s="37"/>
      <c r="HE62" s="37"/>
      <c r="HF62" s="37"/>
      <c r="HG62" s="37"/>
      <c r="HH62" s="37"/>
      <c r="HI62" s="37"/>
      <c r="HJ62" s="37"/>
      <c r="HK62" s="37"/>
      <c r="HL62" s="37"/>
      <c r="HM62" s="37"/>
      <c r="HN62" s="37"/>
      <c r="HO62" s="37"/>
      <c r="HP62" s="37"/>
      <c r="HQ62" s="37"/>
      <c r="HR62" s="37"/>
      <c r="HS62" s="37"/>
      <c r="HT62" s="37"/>
      <c r="HU62" s="37"/>
      <c r="HV62" s="37"/>
      <c r="HW62" s="37"/>
      <c r="HX62" s="37"/>
      <c r="HY62" s="37"/>
      <c r="HZ62" s="37"/>
      <c r="IA62" s="37"/>
      <c r="IB62" s="37"/>
      <c r="IC62" s="37"/>
      <c r="ID62" s="37"/>
      <c r="IE62" s="37"/>
      <c r="IF62" s="37"/>
      <c r="IG62" s="37"/>
      <c r="IH62" s="37"/>
      <c r="II62" s="37"/>
      <c r="IJ62" s="37"/>
      <c r="IK62" s="37"/>
      <c r="IL62" s="37"/>
      <c r="IM62" s="37"/>
      <c r="IN62" s="37"/>
      <c r="IO62" s="37"/>
      <c r="IP62" s="37"/>
      <c r="IQ62" s="37"/>
      <c r="IR62" s="37"/>
      <c r="IS62" s="37"/>
      <c r="IT62" s="37"/>
    </row>
    <row r="63" spans="1:254" s="54" customFormat="1" ht="37.5" x14ac:dyDescent="0.3">
      <c r="A63" s="48" t="s">
        <v>187</v>
      </c>
      <c r="B63" s="56">
        <v>13</v>
      </c>
      <c r="C63" s="44" t="s">
        <v>115</v>
      </c>
      <c r="D63" s="56" t="s">
        <v>49</v>
      </c>
      <c r="E63" s="44" t="s">
        <v>50</v>
      </c>
      <c r="F63" s="46">
        <f>'В-25'!G429+'В-25'!G1577</f>
        <v>17367.900000000001</v>
      </c>
    </row>
  </sheetData>
  <mergeCells count="12">
    <mergeCell ref="F8:F9"/>
    <mergeCell ref="A1:F1"/>
    <mergeCell ref="A2:F2"/>
    <mergeCell ref="A3:F3"/>
    <mergeCell ref="A4:F4"/>
    <mergeCell ref="A5:E5"/>
    <mergeCell ref="A6:E6"/>
    <mergeCell ref="A8:A9"/>
    <mergeCell ref="B8:B9"/>
    <mergeCell ref="C8:C9"/>
    <mergeCell ref="D8:D9"/>
    <mergeCell ref="E8:E9"/>
  </mergeCells>
  <pageMargins left="0.39370078740157483" right="0.19685039370078741" top="0.19685039370078741" bottom="0.19685039370078741" header="0.51181102362204722" footer="0.51181102362204722"/>
  <pageSetup paperSize="9" scale="84" firstPageNumber="0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187"/>
  <sheetViews>
    <sheetView tabSelected="1" zoomScale="70" zoomScaleNormal="70" workbookViewId="0">
      <selection activeCell="D13" sqref="D13"/>
    </sheetView>
  </sheetViews>
  <sheetFormatPr defaultRowHeight="12.75" outlineLevelRow="2" x14ac:dyDescent="0.2"/>
  <cols>
    <col min="1" max="1" width="78.28515625" style="192" customWidth="1"/>
    <col min="2" max="2" width="17.140625" customWidth="1"/>
    <col min="3" max="3" width="10.42578125" customWidth="1"/>
    <col min="4" max="4" width="23.85546875" style="201" customWidth="1"/>
    <col min="5" max="5" width="16.85546875" hidden="1" customWidth="1"/>
    <col min="6" max="6" width="16.28515625" hidden="1" customWidth="1"/>
    <col min="7" max="7" width="13" customWidth="1"/>
  </cols>
  <sheetData>
    <row r="1" spans="1:5" ht="18.75" x14ac:dyDescent="0.3">
      <c r="A1" s="303" t="s">
        <v>678</v>
      </c>
      <c r="B1" s="303"/>
      <c r="C1" s="303"/>
      <c r="D1" s="303"/>
    </row>
    <row r="2" spans="1:5" ht="18.75" x14ac:dyDescent="0.3">
      <c r="A2" s="304" t="s">
        <v>133</v>
      </c>
      <c r="B2" s="304"/>
      <c r="C2" s="304"/>
      <c r="D2" s="304"/>
    </row>
    <row r="3" spans="1:5" ht="18.75" x14ac:dyDescent="0.3">
      <c r="A3" s="304" t="s">
        <v>134</v>
      </c>
      <c r="B3" s="304"/>
      <c r="C3" s="304"/>
      <c r="D3" s="304"/>
    </row>
    <row r="4" spans="1:5" ht="18.75" x14ac:dyDescent="0.3">
      <c r="A4" s="304" t="s">
        <v>1198</v>
      </c>
      <c r="B4" s="304"/>
      <c r="C4" s="304"/>
      <c r="D4" s="304"/>
    </row>
    <row r="6" spans="1:5" x14ac:dyDescent="0.2">
      <c r="A6" s="305" t="s">
        <v>45</v>
      </c>
      <c r="B6" s="305"/>
      <c r="C6" s="305"/>
      <c r="D6" s="305"/>
    </row>
    <row r="7" spans="1:5" x14ac:dyDescent="0.2">
      <c r="A7" s="306"/>
      <c r="B7" s="306"/>
      <c r="C7" s="306"/>
      <c r="D7" s="306"/>
    </row>
    <row r="8" spans="1:5" ht="30" customHeight="1" x14ac:dyDescent="0.2">
      <c r="A8" s="306"/>
      <c r="B8" s="306"/>
      <c r="C8" s="306"/>
      <c r="D8" s="306"/>
    </row>
    <row r="12" spans="1:5" ht="63.75" customHeight="1" x14ac:dyDescent="0.3">
      <c r="A12" s="159" t="s">
        <v>46</v>
      </c>
      <c r="B12" s="2" t="s">
        <v>47</v>
      </c>
      <c r="C12" s="2" t="s">
        <v>137</v>
      </c>
      <c r="D12" s="195" t="s">
        <v>1201</v>
      </c>
    </row>
    <row r="13" spans="1:5" ht="24" customHeight="1" x14ac:dyDescent="0.3">
      <c r="A13" s="160" t="s">
        <v>48</v>
      </c>
      <c r="B13" s="67" t="s">
        <v>49</v>
      </c>
      <c r="C13" s="67" t="s">
        <v>50</v>
      </c>
      <c r="D13" s="269">
        <f>D15+D239+D346+D379+D463+D512+D818+D840+D854+D928+D981+D962+D978</f>
        <v>1557483.52</v>
      </c>
      <c r="E13" s="81"/>
    </row>
    <row r="14" spans="1:5" ht="15" customHeight="1" x14ac:dyDescent="0.3">
      <c r="A14" s="159"/>
      <c r="B14" s="24"/>
      <c r="C14" s="2"/>
      <c r="D14" s="195"/>
      <c r="E14" s="81"/>
    </row>
    <row r="15" spans="1:5" ht="37.5" x14ac:dyDescent="0.3">
      <c r="A15" s="155" t="s">
        <v>38</v>
      </c>
      <c r="B15" s="21" t="s">
        <v>400</v>
      </c>
      <c r="C15" s="21" t="s">
        <v>50</v>
      </c>
      <c r="D15" s="196">
        <f>D16+D154+D166+D193+D223</f>
        <v>841053.10000000009</v>
      </c>
      <c r="E15" s="81"/>
    </row>
    <row r="16" spans="1:5" ht="39" x14ac:dyDescent="0.35">
      <c r="A16" s="161" t="s">
        <v>138</v>
      </c>
      <c r="B16" s="63" t="s">
        <v>51</v>
      </c>
      <c r="C16" s="63" t="s">
        <v>50</v>
      </c>
      <c r="D16" s="197">
        <f>D17+D68+D113+D106+D110+D140+D143+D90+D99+D104+D92+D148+D146+D137+D152</f>
        <v>829653.10000000009</v>
      </c>
      <c r="E16" s="81"/>
    </row>
    <row r="17" spans="1:5" ht="36.75" customHeight="1" x14ac:dyDescent="0.3">
      <c r="A17" s="143" t="s">
        <v>52</v>
      </c>
      <c r="B17" s="15" t="s">
        <v>53</v>
      </c>
      <c r="C17" s="15" t="s">
        <v>50</v>
      </c>
      <c r="D17" s="72">
        <f>D18+D28+D47+D57+D23+D33+D26+D37+D63+D51+D61+D39+D43+D55+D41+D45</f>
        <v>290040.7</v>
      </c>
      <c r="E17" s="81"/>
    </row>
    <row r="18" spans="1:5" ht="18.75" x14ac:dyDescent="0.3">
      <c r="A18" s="143" t="s">
        <v>54</v>
      </c>
      <c r="B18" s="15" t="s">
        <v>55</v>
      </c>
      <c r="C18" s="15" t="s">
        <v>50</v>
      </c>
      <c r="D18" s="72">
        <f>D19+D20+D22+D21</f>
        <v>139936.20000000001</v>
      </c>
      <c r="E18" s="81"/>
    </row>
    <row r="19" spans="1:5" ht="75" x14ac:dyDescent="0.3">
      <c r="A19" s="143" t="s">
        <v>56</v>
      </c>
      <c r="B19" s="15" t="s">
        <v>55</v>
      </c>
      <c r="C19" s="15" t="s">
        <v>57</v>
      </c>
      <c r="D19" s="72">
        <f>'В-25'!G44+'В-25'!G346</f>
        <v>90411</v>
      </c>
      <c r="E19" s="81"/>
    </row>
    <row r="20" spans="1:5" ht="37.5" x14ac:dyDescent="0.3">
      <c r="A20" s="143" t="s">
        <v>425</v>
      </c>
      <c r="B20" s="15" t="s">
        <v>55</v>
      </c>
      <c r="C20" s="15" t="s">
        <v>59</v>
      </c>
      <c r="D20" s="72">
        <f>'В-25'!G45</f>
        <v>49525.200000000004</v>
      </c>
      <c r="E20" s="81"/>
    </row>
    <row r="21" spans="1:5" ht="18.75" hidden="1" x14ac:dyDescent="0.3">
      <c r="A21" s="143" t="s">
        <v>175</v>
      </c>
      <c r="B21" s="15" t="s">
        <v>55</v>
      </c>
      <c r="C21" s="15" t="s">
        <v>176</v>
      </c>
      <c r="D21" s="72">
        <f>'В-25'!G46</f>
        <v>0</v>
      </c>
      <c r="E21" s="81"/>
    </row>
    <row r="22" spans="1:5" ht="18.75" hidden="1" x14ac:dyDescent="0.3">
      <c r="A22" s="143" t="s">
        <v>60</v>
      </c>
      <c r="B22" s="15" t="s">
        <v>55</v>
      </c>
      <c r="C22" s="15" t="s">
        <v>61</v>
      </c>
      <c r="D22" s="72">
        <f>'В-25'!G47</f>
        <v>0</v>
      </c>
      <c r="E22" s="81"/>
    </row>
    <row r="23" spans="1:5" ht="26.25" customHeight="1" x14ac:dyDescent="0.3">
      <c r="A23" s="162" t="s">
        <v>374</v>
      </c>
      <c r="B23" s="14" t="s">
        <v>372</v>
      </c>
      <c r="C23" s="15" t="s">
        <v>50</v>
      </c>
      <c r="D23" s="72">
        <f>D25+D24</f>
        <v>49587.9</v>
      </c>
      <c r="E23" s="81"/>
    </row>
    <row r="24" spans="1:5" ht="75" x14ac:dyDescent="0.3">
      <c r="A24" s="143" t="s">
        <v>56</v>
      </c>
      <c r="B24" s="14" t="s">
        <v>372</v>
      </c>
      <c r="C24" s="15" t="s">
        <v>57</v>
      </c>
      <c r="D24" s="72">
        <f>'В-25'!G49</f>
        <v>48036.6</v>
      </c>
      <c r="E24" s="81"/>
    </row>
    <row r="25" spans="1:5" ht="18.75" x14ac:dyDescent="0.3">
      <c r="A25" s="143" t="s">
        <v>60</v>
      </c>
      <c r="B25" s="14" t="s">
        <v>372</v>
      </c>
      <c r="C25" s="14" t="s">
        <v>61</v>
      </c>
      <c r="D25" s="72">
        <f>'В-25'!G50</f>
        <v>1551.3</v>
      </c>
      <c r="E25" s="81"/>
    </row>
    <row r="26" spans="1:5" ht="37.5" hidden="1" x14ac:dyDescent="0.3">
      <c r="A26" s="162" t="s">
        <v>378</v>
      </c>
      <c r="B26" s="14" t="s">
        <v>379</v>
      </c>
      <c r="C26" s="14" t="s">
        <v>50</v>
      </c>
      <c r="D26" s="72">
        <f>D27</f>
        <v>0</v>
      </c>
      <c r="E26" s="81"/>
    </row>
    <row r="27" spans="1:5" ht="75" hidden="1" x14ac:dyDescent="0.3">
      <c r="A27" s="143" t="s">
        <v>56</v>
      </c>
      <c r="B27" s="14" t="s">
        <v>379</v>
      </c>
      <c r="C27" s="15" t="s">
        <v>57</v>
      </c>
      <c r="D27" s="72">
        <f>'В-25'!G52</f>
        <v>0</v>
      </c>
      <c r="E27" s="81"/>
    </row>
    <row r="28" spans="1:5" ht="23.25" customHeight="1" x14ac:dyDescent="0.3">
      <c r="A28" s="143" t="s">
        <v>73</v>
      </c>
      <c r="B28" s="14" t="s">
        <v>39</v>
      </c>
      <c r="C28" s="14" t="s">
        <v>50</v>
      </c>
      <c r="D28" s="72">
        <f>D29+D30+D32+D31</f>
        <v>31969.100000000002</v>
      </c>
      <c r="E28" s="81"/>
    </row>
    <row r="29" spans="1:5" ht="75" x14ac:dyDescent="0.3">
      <c r="A29" s="143" t="s">
        <v>56</v>
      </c>
      <c r="B29" s="14" t="s">
        <v>39</v>
      </c>
      <c r="C29" s="14" t="s">
        <v>57</v>
      </c>
      <c r="D29" s="72">
        <f>'В-25'!G88</f>
        <v>661.8</v>
      </c>
      <c r="E29" s="81"/>
    </row>
    <row r="30" spans="1:5" ht="37.5" x14ac:dyDescent="0.3">
      <c r="A30" s="143" t="s">
        <v>425</v>
      </c>
      <c r="B30" s="14" t="s">
        <v>39</v>
      </c>
      <c r="C30" s="14" t="s">
        <v>59</v>
      </c>
      <c r="D30" s="72">
        <f>'В-25'!G89</f>
        <v>24780.800000000003</v>
      </c>
      <c r="E30" s="81"/>
    </row>
    <row r="31" spans="1:5" ht="37.5" x14ac:dyDescent="0.3">
      <c r="A31" s="143" t="s">
        <v>264</v>
      </c>
      <c r="B31" s="14" t="s">
        <v>39</v>
      </c>
      <c r="C31" s="14" t="s">
        <v>261</v>
      </c>
      <c r="D31" s="72">
        <f>'В-25'!G90</f>
        <v>6526.5</v>
      </c>
      <c r="E31" s="81"/>
    </row>
    <row r="32" spans="1:5" ht="18.75" x14ac:dyDescent="0.3">
      <c r="A32" s="143" t="s">
        <v>60</v>
      </c>
      <c r="B32" s="14" t="s">
        <v>39</v>
      </c>
      <c r="C32" s="14" t="s">
        <v>61</v>
      </c>
      <c r="D32" s="72">
        <f>'В-25'!G91</f>
        <v>0</v>
      </c>
      <c r="E32" s="81"/>
    </row>
    <row r="33" spans="1:6" ht="38.25" customHeight="1" x14ac:dyDescent="0.3">
      <c r="A33" s="162" t="s">
        <v>374</v>
      </c>
      <c r="B33" s="14" t="s">
        <v>376</v>
      </c>
      <c r="C33" s="15" t="s">
        <v>50</v>
      </c>
      <c r="D33" s="72">
        <f>D35+D36+D34</f>
        <v>886.3</v>
      </c>
      <c r="E33" s="81"/>
    </row>
    <row r="34" spans="1:6" ht="79.5" hidden="1" customHeight="1" x14ac:dyDescent="0.3">
      <c r="A34" s="143" t="s">
        <v>56</v>
      </c>
      <c r="B34" s="14" t="s">
        <v>376</v>
      </c>
      <c r="C34" s="15" t="s">
        <v>57</v>
      </c>
      <c r="D34" s="72">
        <f>'В-25'!G97</f>
        <v>0</v>
      </c>
      <c r="E34" s="81"/>
    </row>
    <row r="35" spans="1:6" ht="37.5" x14ac:dyDescent="0.3">
      <c r="A35" s="143" t="s">
        <v>264</v>
      </c>
      <c r="B35" s="14" t="s">
        <v>376</v>
      </c>
      <c r="C35" s="14" t="s">
        <v>261</v>
      </c>
      <c r="D35" s="72">
        <f>'В-25'!G98</f>
        <v>685</v>
      </c>
      <c r="E35" s="81"/>
    </row>
    <row r="36" spans="1:6" ht="18.75" x14ac:dyDescent="0.3">
      <c r="A36" s="143" t="s">
        <v>60</v>
      </c>
      <c r="B36" s="14" t="s">
        <v>376</v>
      </c>
      <c r="C36" s="14" t="s">
        <v>61</v>
      </c>
      <c r="D36" s="72">
        <f>'В-25'!G99</f>
        <v>201.3</v>
      </c>
      <c r="E36" s="81"/>
    </row>
    <row r="37" spans="1:6" ht="37.5" hidden="1" x14ac:dyDescent="0.3">
      <c r="A37" s="162" t="s">
        <v>378</v>
      </c>
      <c r="B37" s="90" t="s">
        <v>492</v>
      </c>
      <c r="C37" s="90" t="s">
        <v>50</v>
      </c>
      <c r="D37" s="72">
        <f>D38</f>
        <v>0</v>
      </c>
      <c r="E37" s="81"/>
    </row>
    <row r="38" spans="1:6" ht="18.75" hidden="1" x14ac:dyDescent="0.3">
      <c r="A38" s="143" t="s">
        <v>60</v>
      </c>
      <c r="B38" s="90" t="s">
        <v>492</v>
      </c>
      <c r="C38" s="90" t="s">
        <v>61</v>
      </c>
      <c r="D38" s="72">
        <v>0</v>
      </c>
      <c r="E38" s="81"/>
    </row>
    <row r="39" spans="1:6" ht="18.75" x14ac:dyDescent="0.3">
      <c r="A39" s="143" t="s">
        <v>558</v>
      </c>
      <c r="B39" s="14" t="s">
        <v>560</v>
      </c>
      <c r="C39" s="14" t="s">
        <v>50</v>
      </c>
      <c r="D39" s="72">
        <f>D40</f>
        <v>7353.5</v>
      </c>
      <c r="E39" s="81"/>
      <c r="F39" s="88">
        <f>D39+D43+D47</f>
        <v>28951.699999999997</v>
      </c>
    </row>
    <row r="40" spans="1:6" ht="37.5" x14ac:dyDescent="0.3">
      <c r="A40" s="143" t="s">
        <v>264</v>
      </c>
      <c r="B40" s="14" t="s">
        <v>560</v>
      </c>
      <c r="C40" s="14" t="s">
        <v>261</v>
      </c>
      <c r="D40" s="72">
        <f>'В-25'!G1190</f>
        <v>7353.5</v>
      </c>
      <c r="E40" s="81"/>
      <c r="F40" s="88">
        <f>D41+D45+D51</f>
        <v>4270.8</v>
      </c>
    </row>
    <row r="41" spans="1:6" ht="37.5" hidden="1" x14ac:dyDescent="0.3">
      <c r="A41" s="162" t="s">
        <v>374</v>
      </c>
      <c r="B41" s="14" t="s">
        <v>713</v>
      </c>
      <c r="C41" s="14" t="s">
        <v>50</v>
      </c>
      <c r="D41" s="72">
        <f>D42</f>
        <v>0</v>
      </c>
      <c r="E41" s="81"/>
    </row>
    <row r="42" spans="1:6" ht="37.5" hidden="1" x14ac:dyDescent="0.3">
      <c r="A42" s="143" t="s">
        <v>264</v>
      </c>
      <c r="B42" s="14" t="s">
        <v>713</v>
      </c>
      <c r="C42" s="14" t="s">
        <v>261</v>
      </c>
      <c r="D42" s="72">
        <f>'В-25'!G1192</f>
        <v>0</v>
      </c>
      <c r="E42" s="81"/>
    </row>
    <row r="43" spans="1:6" ht="18.75" x14ac:dyDescent="0.3">
      <c r="A43" s="143" t="s">
        <v>559</v>
      </c>
      <c r="B43" s="14" t="s">
        <v>561</v>
      </c>
      <c r="C43" s="14" t="s">
        <v>50</v>
      </c>
      <c r="D43" s="72">
        <f>D44</f>
        <v>12639.199999999999</v>
      </c>
      <c r="E43" s="81"/>
    </row>
    <row r="44" spans="1:6" ht="37.5" x14ac:dyDescent="0.3">
      <c r="A44" s="143" t="s">
        <v>264</v>
      </c>
      <c r="B44" s="14" t="s">
        <v>561</v>
      </c>
      <c r="C44" s="14" t="s">
        <v>261</v>
      </c>
      <c r="D44" s="72">
        <f>'В-25'!G1194+'В-25'!G1455</f>
        <v>12639.199999999999</v>
      </c>
      <c r="E44" s="81"/>
    </row>
    <row r="45" spans="1:6" ht="37.5" x14ac:dyDescent="0.3">
      <c r="A45" s="162" t="s">
        <v>374</v>
      </c>
      <c r="B45" s="14" t="s">
        <v>562</v>
      </c>
      <c r="C45" s="14" t="s">
        <v>50</v>
      </c>
      <c r="D45" s="72">
        <f>D46</f>
        <v>4200</v>
      </c>
      <c r="E45" s="81"/>
    </row>
    <row r="46" spans="1:6" ht="37.5" x14ac:dyDescent="0.3">
      <c r="A46" s="143" t="s">
        <v>264</v>
      </c>
      <c r="B46" s="14" t="s">
        <v>562</v>
      </c>
      <c r="C46" s="14" t="s">
        <v>261</v>
      </c>
      <c r="D46" s="72">
        <f>'В-25'!G1196</f>
        <v>4200</v>
      </c>
      <c r="E46" s="81"/>
    </row>
    <row r="47" spans="1:6" ht="18.75" x14ac:dyDescent="0.3">
      <c r="A47" s="143" t="s">
        <v>544</v>
      </c>
      <c r="B47" s="15" t="s">
        <v>578</v>
      </c>
      <c r="C47" s="14" t="s">
        <v>50</v>
      </c>
      <c r="D47" s="72">
        <f>D48+D49+D50</f>
        <v>8959</v>
      </c>
      <c r="E47" s="81"/>
    </row>
    <row r="48" spans="1:6" ht="75" x14ac:dyDescent="0.3">
      <c r="A48" s="143" t="s">
        <v>56</v>
      </c>
      <c r="B48" s="15" t="s">
        <v>578</v>
      </c>
      <c r="C48" s="15" t="s">
        <v>57</v>
      </c>
      <c r="D48" s="72">
        <f>'В-25'!G190</f>
        <v>7705.8</v>
      </c>
      <c r="E48" s="81"/>
    </row>
    <row r="49" spans="1:5" ht="37.5" x14ac:dyDescent="0.3">
      <c r="A49" s="143" t="s">
        <v>425</v>
      </c>
      <c r="B49" s="15" t="s">
        <v>578</v>
      </c>
      <c r="C49" s="15" t="s">
        <v>59</v>
      </c>
      <c r="D49" s="72">
        <f>'В-25'!G191</f>
        <v>1253.1999999999998</v>
      </c>
      <c r="E49" s="81"/>
    </row>
    <row r="50" spans="1:5" ht="18.75" x14ac:dyDescent="0.3">
      <c r="A50" s="143" t="s">
        <v>60</v>
      </c>
      <c r="B50" s="15" t="s">
        <v>578</v>
      </c>
      <c r="C50" s="15" t="s">
        <v>61</v>
      </c>
      <c r="D50" s="72">
        <f>'В-25'!G192</f>
        <v>0</v>
      </c>
      <c r="E50" s="81"/>
    </row>
    <row r="51" spans="1:5" ht="41.25" customHeight="1" x14ac:dyDescent="0.3">
      <c r="A51" s="162" t="s">
        <v>374</v>
      </c>
      <c r="B51" s="15" t="s">
        <v>621</v>
      </c>
      <c r="C51" s="15" t="s">
        <v>50</v>
      </c>
      <c r="D51" s="72">
        <f>D53+D54</f>
        <v>70.8</v>
      </c>
      <c r="E51" s="81"/>
    </row>
    <row r="52" spans="1:5" ht="75" hidden="1" x14ac:dyDescent="0.3">
      <c r="A52" s="143" t="s">
        <v>56</v>
      </c>
      <c r="B52" s="15" t="s">
        <v>506</v>
      </c>
      <c r="C52" s="15" t="s">
        <v>57</v>
      </c>
      <c r="D52" s="72">
        <f>'[2]В-21'!G109</f>
        <v>0</v>
      </c>
      <c r="E52" s="81"/>
    </row>
    <row r="53" spans="1:5" ht="75" hidden="1" x14ac:dyDescent="0.3">
      <c r="A53" s="143" t="s">
        <v>56</v>
      </c>
      <c r="B53" s="15" t="s">
        <v>621</v>
      </c>
      <c r="C53" s="15" t="s">
        <v>57</v>
      </c>
      <c r="D53" s="72">
        <f>'В-25'!G194</f>
        <v>0</v>
      </c>
      <c r="E53" s="81"/>
    </row>
    <row r="54" spans="1:5" ht="18.75" hidden="1" x14ac:dyDescent="0.3">
      <c r="A54" s="143" t="s">
        <v>60</v>
      </c>
      <c r="B54" s="15" t="s">
        <v>621</v>
      </c>
      <c r="C54" s="15" t="s">
        <v>61</v>
      </c>
      <c r="D54" s="72">
        <f>'В-25'!G195</f>
        <v>70.8</v>
      </c>
      <c r="E54" s="81"/>
    </row>
    <row r="55" spans="1:5" ht="37.5" hidden="1" x14ac:dyDescent="0.3">
      <c r="A55" s="162" t="s">
        <v>378</v>
      </c>
      <c r="B55" s="15" t="s">
        <v>635</v>
      </c>
      <c r="C55" s="15" t="s">
        <v>50</v>
      </c>
      <c r="D55" s="72">
        <f>D56</f>
        <v>0</v>
      </c>
      <c r="E55" s="81"/>
    </row>
    <row r="56" spans="1:5" ht="75" hidden="1" x14ac:dyDescent="0.3">
      <c r="A56" s="143" t="s">
        <v>56</v>
      </c>
      <c r="B56" s="15" t="s">
        <v>635</v>
      </c>
      <c r="C56" s="15" t="s">
        <v>57</v>
      </c>
      <c r="D56" s="72">
        <f>'В-25'!G197</f>
        <v>0</v>
      </c>
      <c r="E56" s="81"/>
    </row>
    <row r="57" spans="1:5" ht="18.75" x14ac:dyDescent="0.3">
      <c r="A57" s="143" t="s">
        <v>82</v>
      </c>
      <c r="B57" s="15" t="s">
        <v>43</v>
      </c>
      <c r="C57" s="15" t="s">
        <v>50</v>
      </c>
      <c r="D57" s="72">
        <f>D58+D59+D60+D65+D66</f>
        <v>24338.7</v>
      </c>
      <c r="E57" s="81"/>
    </row>
    <row r="58" spans="1:5" ht="75" x14ac:dyDescent="0.3">
      <c r="A58" s="143" t="s">
        <v>56</v>
      </c>
      <c r="B58" s="15" t="s">
        <v>43</v>
      </c>
      <c r="C58" s="15" t="s">
        <v>57</v>
      </c>
      <c r="D58" s="72">
        <f>'В-25'!G291+'В-25'!G320+'В-25'!G348</f>
        <v>23513.4</v>
      </c>
      <c r="E58" s="81"/>
    </row>
    <row r="59" spans="1:5" ht="37.5" x14ac:dyDescent="0.3">
      <c r="A59" s="143" t="s">
        <v>425</v>
      </c>
      <c r="B59" s="15" t="s">
        <v>43</v>
      </c>
      <c r="C59" s="15" t="s">
        <v>59</v>
      </c>
      <c r="D59" s="72">
        <f>'В-25'!G292+'В-25'!G321</f>
        <v>825.30000000000007</v>
      </c>
      <c r="E59" s="81"/>
    </row>
    <row r="60" spans="1:5" ht="18.75" hidden="1" x14ac:dyDescent="0.3">
      <c r="A60" s="143" t="s">
        <v>175</v>
      </c>
      <c r="B60" s="15" t="s">
        <v>43</v>
      </c>
      <c r="C60" s="15" t="s">
        <v>176</v>
      </c>
      <c r="D60" s="72">
        <f>'В-25'!G293</f>
        <v>0</v>
      </c>
      <c r="E60" s="81"/>
    </row>
    <row r="61" spans="1:5" ht="43.5" customHeight="1" x14ac:dyDescent="0.3">
      <c r="A61" s="162" t="s">
        <v>374</v>
      </c>
      <c r="B61" s="14" t="s">
        <v>508</v>
      </c>
      <c r="C61" s="14" t="s">
        <v>50</v>
      </c>
      <c r="D61" s="72">
        <f>D62</f>
        <v>10100</v>
      </c>
      <c r="E61" s="81"/>
    </row>
    <row r="62" spans="1:5" ht="75" x14ac:dyDescent="0.3">
      <c r="A62" s="143" t="s">
        <v>56</v>
      </c>
      <c r="B62" s="14" t="s">
        <v>508</v>
      </c>
      <c r="C62" s="14" t="s">
        <v>57</v>
      </c>
      <c r="D62" s="72">
        <f>'В-25'!G295+'В-25'!G323</f>
        <v>10100</v>
      </c>
      <c r="E62" s="81"/>
    </row>
    <row r="63" spans="1:5" ht="37.5" hidden="1" x14ac:dyDescent="0.3">
      <c r="A63" s="162" t="s">
        <v>378</v>
      </c>
      <c r="B63" s="14" t="s">
        <v>505</v>
      </c>
      <c r="C63" s="14" t="s">
        <v>50</v>
      </c>
      <c r="D63" s="72">
        <f>D64</f>
        <v>0</v>
      </c>
      <c r="E63" s="81"/>
    </row>
    <row r="64" spans="1:5" ht="75" hidden="1" x14ac:dyDescent="0.3">
      <c r="A64" s="143" t="s">
        <v>56</v>
      </c>
      <c r="B64" s="14" t="s">
        <v>505</v>
      </c>
      <c r="C64" s="14" t="s">
        <v>57</v>
      </c>
      <c r="D64" s="72">
        <f>'[2]В-21'!G170</f>
        <v>0</v>
      </c>
      <c r="E64" s="81"/>
    </row>
    <row r="65" spans="1:5" ht="18.75" hidden="1" x14ac:dyDescent="0.3">
      <c r="A65" s="143" t="s">
        <v>175</v>
      </c>
      <c r="B65" s="15" t="s">
        <v>43</v>
      </c>
      <c r="C65" s="14" t="s">
        <v>176</v>
      </c>
      <c r="D65" s="72">
        <f>'В-25'!G324</f>
        <v>0</v>
      </c>
      <c r="E65" s="81"/>
    </row>
    <row r="66" spans="1:5" ht="37.5" hidden="1" x14ac:dyDescent="0.3">
      <c r="A66" s="162" t="s">
        <v>374</v>
      </c>
      <c r="B66" s="14" t="s">
        <v>508</v>
      </c>
      <c r="C66" s="14" t="s">
        <v>50</v>
      </c>
      <c r="D66" s="72">
        <f>D67</f>
        <v>0</v>
      </c>
      <c r="E66" s="81"/>
    </row>
    <row r="67" spans="1:5" ht="75" hidden="1" x14ac:dyDescent="0.3">
      <c r="A67" s="143" t="s">
        <v>56</v>
      </c>
      <c r="B67" s="14" t="s">
        <v>508</v>
      </c>
      <c r="C67" s="14" t="s">
        <v>57</v>
      </c>
      <c r="D67" s="72">
        <f>'В-25'!G326</f>
        <v>0</v>
      </c>
      <c r="E67" s="81"/>
    </row>
    <row r="68" spans="1:5" ht="18.75" x14ac:dyDescent="0.3">
      <c r="A68" s="143" t="s">
        <v>62</v>
      </c>
      <c r="B68" s="14" t="s">
        <v>63</v>
      </c>
      <c r="C68" s="14" t="s">
        <v>50</v>
      </c>
      <c r="D68" s="72">
        <f>D69+D72+D75+D78+D81+D84+D86+D88</f>
        <v>43165.9</v>
      </c>
      <c r="E68" s="81"/>
    </row>
    <row r="69" spans="1:5" ht="18.75" hidden="1" x14ac:dyDescent="0.3">
      <c r="A69" s="143" t="s">
        <v>146</v>
      </c>
      <c r="B69" s="15" t="s">
        <v>148</v>
      </c>
      <c r="C69" s="14" t="s">
        <v>50</v>
      </c>
      <c r="D69" s="72">
        <f>D70+D71</f>
        <v>0</v>
      </c>
      <c r="E69" s="81"/>
    </row>
    <row r="70" spans="1:5" ht="37.5" hidden="1" x14ac:dyDescent="0.3">
      <c r="A70" s="143" t="s">
        <v>425</v>
      </c>
      <c r="B70" s="15" t="s">
        <v>148</v>
      </c>
      <c r="C70" s="15" t="s">
        <v>59</v>
      </c>
      <c r="D70" s="72">
        <f>'В-25'!G233</f>
        <v>0</v>
      </c>
      <c r="E70" s="81"/>
    </row>
    <row r="71" spans="1:5" ht="18.75" hidden="1" x14ac:dyDescent="0.3">
      <c r="A71" s="143" t="s">
        <v>175</v>
      </c>
      <c r="B71" s="15" t="s">
        <v>148</v>
      </c>
      <c r="C71" s="15" t="s">
        <v>176</v>
      </c>
      <c r="D71" s="72">
        <f>'В-25'!G234</f>
        <v>0</v>
      </c>
      <c r="E71" s="81"/>
    </row>
    <row r="72" spans="1:5" ht="67.5" hidden="1" customHeight="1" x14ac:dyDescent="0.3">
      <c r="A72" s="143" t="s">
        <v>536</v>
      </c>
      <c r="B72" s="14" t="s">
        <v>149</v>
      </c>
      <c r="C72" s="14" t="s">
        <v>50</v>
      </c>
      <c r="D72" s="72">
        <f>D73+D74</f>
        <v>0</v>
      </c>
      <c r="E72" s="81"/>
    </row>
    <row r="73" spans="1:5" ht="37.5" hidden="1" x14ac:dyDescent="0.3">
      <c r="A73" s="143" t="s">
        <v>425</v>
      </c>
      <c r="B73" s="14" t="s">
        <v>149</v>
      </c>
      <c r="C73" s="14" t="s">
        <v>59</v>
      </c>
      <c r="D73" s="72">
        <f>'В-25'!G114</f>
        <v>0</v>
      </c>
      <c r="E73" s="81"/>
    </row>
    <row r="74" spans="1:5" ht="37.5" hidden="1" x14ac:dyDescent="0.3">
      <c r="A74" s="143" t="s">
        <v>264</v>
      </c>
      <c r="B74" s="14" t="s">
        <v>149</v>
      </c>
      <c r="C74" s="15" t="s">
        <v>261</v>
      </c>
      <c r="D74" s="72">
        <v>0</v>
      </c>
      <c r="E74" s="81"/>
    </row>
    <row r="75" spans="1:5" ht="18.75" x14ac:dyDescent="0.3">
      <c r="A75" s="143" t="s">
        <v>75</v>
      </c>
      <c r="B75" s="14" t="s">
        <v>40</v>
      </c>
      <c r="C75" s="14" t="s">
        <v>50</v>
      </c>
      <c r="D75" s="72">
        <f>D77+D76</f>
        <v>513.29999999999995</v>
      </c>
      <c r="E75" s="81"/>
    </row>
    <row r="76" spans="1:5" ht="75" hidden="1" x14ac:dyDescent="0.3">
      <c r="A76" s="143" t="s">
        <v>56</v>
      </c>
      <c r="B76" s="14" t="s">
        <v>40</v>
      </c>
      <c r="C76" s="14" t="s">
        <v>57</v>
      </c>
      <c r="D76" s="72">
        <f>'В-25'!G116</f>
        <v>513.29999999999995</v>
      </c>
      <c r="E76" s="81"/>
    </row>
    <row r="77" spans="1:5" ht="37.5" x14ac:dyDescent="0.3">
      <c r="A77" s="143" t="s">
        <v>425</v>
      </c>
      <c r="B77" s="14" t="s">
        <v>40</v>
      </c>
      <c r="C77" s="14" t="s">
        <v>59</v>
      </c>
      <c r="D77" s="72">
        <f>'В-25'!G117</f>
        <v>0</v>
      </c>
      <c r="E77" s="81"/>
    </row>
    <row r="78" spans="1:5" ht="18.75" hidden="1" outlineLevel="1" x14ac:dyDescent="0.3">
      <c r="A78" s="143" t="s">
        <v>64</v>
      </c>
      <c r="B78" s="14" t="s">
        <v>65</v>
      </c>
      <c r="C78" s="14" t="s">
        <v>50</v>
      </c>
      <c r="D78" s="72">
        <f>D79+D80</f>
        <v>0</v>
      </c>
      <c r="E78" s="81"/>
    </row>
    <row r="79" spans="1:5" ht="18.75" hidden="1" outlineLevel="1" x14ac:dyDescent="0.3">
      <c r="A79" s="143" t="s">
        <v>58</v>
      </c>
      <c r="B79" s="14" t="s">
        <v>65</v>
      </c>
      <c r="C79" s="14" t="s">
        <v>59</v>
      </c>
      <c r="D79" s="72">
        <f>'В-25'!G119</f>
        <v>0</v>
      </c>
      <c r="E79" s="81"/>
    </row>
    <row r="80" spans="1:5" ht="18.75" hidden="1" outlineLevel="1" x14ac:dyDescent="0.3">
      <c r="A80" s="143" t="s">
        <v>60</v>
      </c>
      <c r="B80" s="14" t="s">
        <v>65</v>
      </c>
      <c r="C80" s="14" t="s">
        <v>61</v>
      </c>
      <c r="D80" s="72">
        <f>'[2]В-21'!G83</f>
        <v>0</v>
      </c>
      <c r="E80" s="81"/>
    </row>
    <row r="81" spans="1:5" ht="18.75" collapsed="1" x14ac:dyDescent="0.3">
      <c r="A81" s="143" t="s">
        <v>66</v>
      </c>
      <c r="B81" s="14" t="s">
        <v>67</v>
      </c>
      <c r="C81" s="14" t="s">
        <v>50</v>
      </c>
      <c r="D81" s="72">
        <f>D82+D83</f>
        <v>42652.6</v>
      </c>
      <c r="E81" s="81"/>
    </row>
    <row r="82" spans="1:5" ht="75" hidden="1" x14ac:dyDescent="0.3">
      <c r="A82" s="143" t="s">
        <v>56</v>
      </c>
      <c r="B82" s="14" t="s">
        <v>67</v>
      </c>
      <c r="C82" s="14" t="s">
        <v>57</v>
      </c>
      <c r="D82" s="72">
        <f>'[2]В-21'!G53+'[2]В-21'!G213</f>
        <v>0</v>
      </c>
      <c r="E82" s="81"/>
    </row>
    <row r="83" spans="1:5" ht="37.5" x14ac:dyDescent="0.3">
      <c r="A83" s="143" t="s">
        <v>425</v>
      </c>
      <c r="B83" s="14" t="s">
        <v>67</v>
      </c>
      <c r="C83" s="14" t="s">
        <v>59</v>
      </c>
      <c r="D83" s="72">
        <f>'В-25'!G60</f>
        <v>42652.6</v>
      </c>
      <c r="E83" s="81"/>
    </row>
    <row r="84" spans="1:5" ht="18.75" hidden="1" x14ac:dyDescent="0.3">
      <c r="A84" s="163" t="s">
        <v>399</v>
      </c>
      <c r="B84" s="44" t="s">
        <v>408</v>
      </c>
      <c r="C84" s="44" t="s">
        <v>50</v>
      </c>
      <c r="D84" s="72">
        <f>D85</f>
        <v>0</v>
      </c>
      <c r="E84" s="81"/>
    </row>
    <row r="85" spans="1:5" ht="37.5" hidden="1" x14ac:dyDescent="0.3">
      <c r="A85" s="143" t="s">
        <v>425</v>
      </c>
      <c r="B85" s="44" t="s">
        <v>408</v>
      </c>
      <c r="C85" s="44" t="s">
        <v>59</v>
      </c>
      <c r="D85" s="72">
        <f>'[2]В-21'!G26</f>
        <v>0</v>
      </c>
      <c r="E85" s="81"/>
    </row>
    <row r="86" spans="1:5" ht="18.75" hidden="1" x14ac:dyDescent="0.3">
      <c r="A86" s="163" t="s">
        <v>399</v>
      </c>
      <c r="B86" s="44" t="s">
        <v>408</v>
      </c>
      <c r="C86" s="14" t="s">
        <v>50</v>
      </c>
      <c r="D86" s="72">
        <f>D87</f>
        <v>0</v>
      </c>
      <c r="E86" s="81"/>
    </row>
    <row r="87" spans="1:5" ht="37.5" hidden="1" x14ac:dyDescent="0.3">
      <c r="A87" s="143" t="s">
        <v>425</v>
      </c>
      <c r="B87" s="44" t="s">
        <v>408</v>
      </c>
      <c r="C87" s="14" t="s">
        <v>59</v>
      </c>
      <c r="D87" s="72">
        <f>'В-25'!G26</f>
        <v>0</v>
      </c>
      <c r="E87" s="81"/>
    </row>
    <row r="88" spans="1:5" ht="37.5" hidden="1" x14ac:dyDescent="0.3">
      <c r="A88" s="143" t="s">
        <v>490</v>
      </c>
      <c r="B88" s="15" t="s">
        <v>491</v>
      </c>
      <c r="C88" s="14" t="s">
        <v>50</v>
      </c>
      <c r="D88" s="72">
        <f>D89</f>
        <v>0</v>
      </c>
      <c r="E88" s="81"/>
    </row>
    <row r="89" spans="1:5" ht="37.5" hidden="1" x14ac:dyDescent="0.3">
      <c r="A89" s="143" t="s">
        <v>264</v>
      </c>
      <c r="B89" s="15" t="s">
        <v>491</v>
      </c>
      <c r="C89" s="15" t="s">
        <v>261</v>
      </c>
      <c r="D89" s="72">
        <f>'В-25'!G203</f>
        <v>0</v>
      </c>
      <c r="E89" s="81"/>
    </row>
    <row r="90" spans="1:5" ht="56.25" hidden="1" x14ac:dyDescent="0.3">
      <c r="A90" s="164" t="s">
        <v>493</v>
      </c>
      <c r="B90" s="14" t="s">
        <v>640</v>
      </c>
      <c r="C90" s="14" t="s">
        <v>50</v>
      </c>
      <c r="D90" s="72">
        <f>D91</f>
        <v>0</v>
      </c>
      <c r="E90" s="81"/>
    </row>
    <row r="91" spans="1:5" ht="18.75" hidden="1" x14ac:dyDescent="0.3">
      <c r="A91" s="143" t="s">
        <v>60</v>
      </c>
      <c r="B91" s="14" t="s">
        <v>640</v>
      </c>
      <c r="C91" s="14" t="s">
        <v>61</v>
      </c>
      <c r="D91" s="72">
        <f>'В-25'!G62</f>
        <v>0</v>
      </c>
      <c r="E91" s="81"/>
    </row>
    <row r="92" spans="1:5" ht="56.25" hidden="1" x14ac:dyDescent="0.3">
      <c r="A92" s="156" t="s">
        <v>249</v>
      </c>
      <c r="B92" s="14" t="s">
        <v>869</v>
      </c>
      <c r="C92" s="14" t="s">
        <v>50</v>
      </c>
      <c r="D92" s="72">
        <f>D93+D96</f>
        <v>0</v>
      </c>
      <c r="E92" s="81"/>
    </row>
    <row r="93" spans="1:5" ht="75" hidden="1" x14ac:dyDescent="0.3">
      <c r="A93" s="143" t="s">
        <v>643</v>
      </c>
      <c r="B93" s="14" t="s">
        <v>870</v>
      </c>
      <c r="C93" s="14" t="s">
        <v>50</v>
      </c>
      <c r="D93" s="72">
        <f>D95+D94</f>
        <v>0</v>
      </c>
      <c r="E93" s="81"/>
    </row>
    <row r="94" spans="1:5" ht="37.5" hidden="1" x14ac:dyDescent="0.3">
      <c r="A94" s="143" t="s">
        <v>425</v>
      </c>
      <c r="B94" s="14" t="s">
        <v>870</v>
      </c>
      <c r="C94" s="14" t="s">
        <v>59</v>
      </c>
      <c r="D94" s="72">
        <f>'В-25'!G102+'В-25'!G65+'В-25'!G78</f>
        <v>0</v>
      </c>
      <c r="E94" s="81"/>
    </row>
    <row r="95" spans="1:5" ht="37.5" hidden="1" x14ac:dyDescent="0.3">
      <c r="A95" s="143" t="s">
        <v>264</v>
      </c>
      <c r="B95" s="14" t="s">
        <v>644</v>
      </c>
      <c r="C95" s="14" t="s">
        <v>261</v>
      </c>
      <c r="D95" s="72">
        <f>'В-25'!G103</f>
        <v>0</v>
      </c>
      <c r="E95" s="81"/>
    </row>
    <row r="96" spans="1:5" ht="93.75" hidden="1" x14ac:dyDescent="0.3">
      <c r="A96" s="143" t="s">
        <v>417</v>
      </c>
      <c r="B96" s="14" t="s">
        <v>871</v>
      </c>
      <c r="C96" s="14" t="s">
        <v>50</v>
      </c>
      <c r="D96" s="72">
        <f>D98+D97</f>
        <v>0</v>
      </c>
      <c r="E96" s="81"/>
    </row>
    <row r="97" spans="1:5" ht="37.5" hidden="1" x14ac:dyDescent="0.3">
      <c r="A97" s="143" t="s">
        <v>425</v>
      </c>
      <c r="B97" s="14" t="s">
        <v>871</v>
      </c>
      <c r="C97" s="14" t="s">
        <v>59</v>
      </c>
      <c r="D97" s="72">
        <f>'В-25'!G105+'В-25'!G67+'В-25'!G80</f>
        <v>0</v>
      </c>
      <c r="E97" s="81"/>
    </row>
    <row r="98" spans="1:5" ht="37.5" hidden="1" x14ac:dyDescent="0.3">
      <c r="A98" s="143" t="s">
        <v>264</v>
      </c>
      <c r="B98" s="14" t="s">
        <v>418</v>
      </c>
      <c r="C98" s="14" t="s">
        <v>261</v>
      </c>
      <c r="D98" s="72">
        <f>'В-25'!G106</f>
        <v>0</v>
      </c>
      <c r="E98" s="81"/>
    </row>
    <row r="99" spans="1:5" ht="24" hidden="1" customHeight="1" x14ac:dyDescent="0.3">
      <c r="A99" s="165" t="s">
        <v>633</v>
      </c>
      <c r="B99" s="14" t="s">
        <v>634</v>
      </c>
      <c r="C99" s="14" t="s">
        <v>50</v>
      </c>
      <c r="D99" s="72">
        <f>D100</f>
        <v>0</v>
      </c>
      <c r="E99" s="81"/>
    </row>
    <row r="100" spans="1:5" ht="18.75" hidden="1" x14ac:dyDescent="0.3">
      <c r="A100" s="165" t="s">
        <v>637</v>
      </c>
      <c r="B100" s="14" t="s">
        <v>638</v>
      </c>
      <c r="C100" s="14" t="s">
        <v>50</v>
      </c>
      <c r="D100" s="72">
        <f>D101</f>
        <v>0</v>
      </c>
      <c r="E100" s="81"/>
    </row>
    <row r="101" spans="1:5" ht="56.25" hidden="1" x14ac:dyDescent="0.3">
      <c r="A101" s="156" t="s">
        <v>249</v>
      </c>
      <c r="B101" s="14" t="s">
        <v>639</v>
      </c>
      <c r="C101" s="14" t="s">
        <v>50</v>
      </c>
      <c r="D101" s="72">
        <f>D102</f>
        <v>0</v>
      </c>
      <c r="E101" s="81"/>
    </row>
    <row r="102" spans="1:5" ht="93.75" hidden="1" x14ac:dyDescent="0.3">
      <c r="A102" s="143" t="s">
        <v>622</v>
      </c>
      <c r="B102" s="14" t="s">
        <v>623</v>
      </c>
      <c r="C102" s="14" t="s">
        <v>50</v>
      </c>
      <c r="D102" s="72">
        <f>D103</f>
        <v>0</v>
      </c>
      <c r="E102" s="81"/>
    </row>
    <row r="103" spans="1:5" ht="37.5" hidden="1" x14ac:dyDescent="0.3">
      <c r="A103" s="143" t="s">
        <v>425</v>
      </c>
      <c r="B103" s="14" t="s">
        <v>623</v>
      </c>
      <c r="C103" s="14" t="s">
        <v>59</v>
      </c>
      <c r="D103" s="72">
        <f>'В-25'!G125</f>
        <v>0</v>
      </c>
      <c r="E103" s="81"/>
    </row>
    <row r="104" spans="1:5" ht="93.75" hidden="1" x14ac:dyDescent="0.3">
      <c r="A104" s="143" t="s">
        <v>636</v>
      </c>
      <c r="B104" s="14" t="s">
        <v>641</v>
      </c>
      <c r="C104" s="14" t="s">
        <v>50</v>
      </c>
      <c r="D104" s="72">
        <f>D105</f>
        <v>0</v>
      </c>
      <c r="E104" s="81"/>
    </row>
    <row r="105" spans="1:5" ht="37.5" hidden="1" x14ac:dyDescent="0.3">
      <c r="A105" s="143" t="s">
        <v>425</v>
      </c>
      <c r="B105" s="14" t="s">
        <v>641</v>
      </c>
      <c r="C105" s="14" t="s">
        <v>59</v>
      </c>
      <c r="D105" s="72">
        <f>'В-25'!G127</f>
        <v>0</v>
      </c>
      <c r="E105" s="81"/>
    </row>
    <row r="106" spans="1:5" ht="68.25" customHeight="1" x14ac:dyDescent="0.3">
      <c r="A106" s="156" t="s">
        <v>173</v>
      </c>
      <c r="B106" s="14" t="s">
        <v>807</v>
      </c>
      <c r="C106" s="14" t="s">
        <v>50</v>
      </c>
      <c r="D106" s="72">
        <f>D107</f>
        <v>521.6</v>
      </c>
      <c r="E106" s="81"/>
    </row>
    <row r="107" spans="1:5" ht="112.5" x14ac:dyDescent="0.3">
      <c r="A107" s="143" t="s">
        <v>519</v>
      </c>
      <c r="B107" s="113" t="s">
        <v>1168</v>
      </c>
      <c r="C107" s="14" t="s">
        <v>50</v>
      </c>
      <c r="D107" s="72">
        <f>D109+D108+D112</f>
        <v>521.6</v>
      </c>
      <c r="E107" s="81"/>
    </row>
    <row r="108" spans="1:5" ht="75" x14ac:dyDescent="0.3">
      <c r="A108" s="143" t="s">
        <v>56</v>
      </c>
      <c r="B108" s="113" t="s">
        <v>1168</v>
      </c>
      <c r="C108" s="14" t="s">
        <v>57</v>
      </c>
      <c r="D108" s="72">
        <f>'В-25'!G109</f>
        <v>521.6</v>
      </c>
      <c r="E108" s="81"/>
    </row>
    <row r="109" spans="1:5" ht="37.5" hidden="1" x14ac:dyDescent="0.3">
      <c r="A109" s="143" t="s">
        <v>264</v>
      </c>
      <c r="B109" s="113" t="s">
        <v>1168</v>
      </c>
      <c r="C109" s="14" t="s">
        <v>261</v>
      </c>
      <c r="D109" s="72">
        <f>'В-25'!G111</f>
        <v>0</v>
      </c>
      <c r="E109" s="81"/>
    </row>
    <row r="110" spans="1:5" ht="93.75" hidden="1" x14ac:dyDescent="0.3">
      <c r="A110" s="143" t="s">
        <v>417</v>
      </c>
      <c r="B110" s="113" t="s">
        <v>1168</v>
      </c>
      <c r="C110" s="14" t="s">
        <v>50</v>
      </c>
      <c r="D110" s="72">
        <f>D111</f>
        <v>0</v>
      </c>
      <c r="E110" s="81"/>
    </row>
    <row r="111" spans="1:5" ht="37.5" hidden="1" x14ac:dyDescent="0.3">
      <c r="A111" s="143" t="s">
        <v>425</v>
      </c>
      <c r="B111" s="14" t="s">
        <v>418</v>
      </c>
      <c r="C111" s="14" t="s">
        <v>59</v>
      </c>
      <c r="D111" s="72">
        <f>'[2]В-21'!G88</f>
        <v>0</v>
      </c>
      <c r="E111" s="81"/>
    </row>
    <row r="112" spans="1:5" ht="37.5" hidden="1" x14ac:dyDescent="0.3">
      <c r="A112" s="143" t="s">
        <v>264</v>
      </c>
      <c r="B112" s="14" t="s">
        <v>518</v>
      </c>
      <c r="C112" s="14" t="s">
        <v>261</v>
      </c>
      <c r="D112" s="72">
        <v>0</v>
      </c>
      <c r="E112" s="81"/>
    </row>
    <row r="113" spans="1:5" ht="18.75" hidden="1" x14ac:dyDescent="0.3">
      <c r="A113" s="143" t="s">
        <v>68</v>
      </c>
      <c r="B113" s="14" t="s">
        <v>846</v>
      </c>
      <c r="C113" s="14" t="s">
        <v>50</v>
      </c>
      <c r="D113" s="72">
        <f>D114+D119+D127+D124+D131+D134+D129</f>
        <v>346529.60000000003</v>
      </c>
      <c r="E113" s="81"/>
    </row>
    <row r="114" spans="1:5" ht="75" x14ac:dyDescent="0.3">
      <c r="A114" s="143" t="s">
        <v>76</v>
      </c>
      <c r="B114" s="113" t="s">
        <v>1165</v>
      </c>
      <c r="C114" s="14" t="s">
        <v>50</v>
      </c>
      <c r="D114" s="72">
        <f>D115+D116+D117+D118</f>
        <v>202483</v>
      </c>
      <c r="E114" s="81"/>
    </row>
    <row r="115" spans="1:5" ht="75" x14ac:dyDescent="0.3">
      <c r="A115" s="143" t="s">
        <v>56</v>
      </c>
      <c r="B115" s="113" t="s">
        <v>1165</v>
      </c>
      <c r="C115" s="14" t="s">
        <v>57</v>
      </c>
      <c r="D115" s="72">
        <f>'В-25'!G130+'В-25'!G354</f>
        <v>157483</v>
      </c>
      <c r="E115" s="81"/>
    </row>
    <row r="116" spans="1:5" ht="37.5" x14ac:dyDescent="0.3">
      <c r="A116" s="143" t="s">
        <v>425</v>
      </c>
      <c r="B116" s="113" t="s">
        <v>1165</v>
      </c>
      <c r="C116" s="14" t="s">
        <v>59</v>
      </c>
      <c r="D116" s="72">
        <f>'В-25'!G131</f>
        <v>1948.5</v>
      </c>
      <c r="E116" s="81"/>
    </row>
    <row r="117" spans="1:5" ht="37.5" x14ac:dyDescent="0.3">
      <c r="A117" s="143" t="s">
        <v>264</v>
      </c>
      <c r="B117" s="113" t="s">
        <v>1165</v>
      </c>
      <c r="C117" s="14" t="s">
        <v>261</v>
      </c>
      <c r="D117" s="72">
        <f>'В-25'!G133</f>
        <v>43051.5</v>
      </c>
      <c r="E117" s="81"/>
    </row>
    <row r="118" spans="1:5" ht="18.75" hidden="1" x14ac:dyDescent="0.3">
      <c r="A118" s="143" t="s">
        <v>60</v>
      </c>
      <c r="B118" s="14" t="s">
        <v>806</v>
      </c>
      <c r="C118" s="14" t="s">
        <v>61</v>
      </c>
      <c r="D118" s="72">
        <f>'В-25'!G134</f>
        <v>0</v>
      </c>
      <c r="E118" s="81"/>
    </row>
    <row r="119" spans="1:5" ht="56.25" x14ac:dyDescent="0.3">
      <c r="A119" s="143" t="s">
        <v>70</v>
      </c>
      <c r="B119" s="113" t="s">
        <v>1166</v>
      </c>
      <c r="C119" s="14" t="s">
        <v>50</v>
      </c>
      <c r="D119" s="72">
        <f>D120+D121+D123+D122</f>
        <v>141292.9</v>
      </c>
      <c r="E119" s="81"/>
    </row>
    <row r="120" spans="1:5" ht="75" x14ac:dyDescent="0.3">
      <c r="A120" s="143" t="s">
        <v>56</v>
      </c>
      <c r="B120" s="113" t="s">
        <v>1166</v>
      </c>
      <c r="C120" s="14" t="s">
        <v>57</v>
      </c>
      <c r="D120" s="72">
        <f>'В-25'!G70+'В-25'!G356</f>
        <v>139776.1</v>
      </c>
      <c r="E120" s="81"/>
    </row>
    <row r="121" spans="1:5" ht="37.5" x14ac:dyDescent="0.3">
      <c r="A121" s="143" t="s">
        <v>425</v>
      </c>
      <c r="B121" s="113" t="s">
        <v>1166</v>
      </c>
      <c r="C121" s="14" t="s">
        <v>59</v>
      </c>
      <c r="D121" s="72">
        <f>'В-25'!G71</f>
        <v>1516.8</v>
      </c>
      <c r="E121" s="81"/>
    </row>
    <row r="122" spans="1:5" ht="18.75" x14ac:dyDescent="0.3">
      <c r="A122" s="143" t="s">
        <v>175</v>
      </c>
      <c r="B122" s="113" t="s">
        <v>1166</v>
      </c>
      <c r="C122" s="14" t="s">
        <v>176</v>
      </c>
      <c r="D122" s="72">
        <f>'В-25'!G72</f>
        <v>0</v>
      </c>
      <c r="E122" s="81"/>
    </row>
    <row r="123" spans="1:5" ht="18.75" hidden="1" x14ac:dyDescent="0.3">
      <c r="A123" s="143" t="s">
        <v>60</v>
      </c>
      <c r="B123" s="14" t="s">
        <v>71</v>
      </c>
      <c r="C123" s="14" t="s">
        <v>61</v>
      </c>
      <c r="D123" s="72">
        <f>'[2]В-21'!G60</f>
        <v>0</v>
      </c>
      <c r="E123" s="81"/>
    </row>
    <row r="124" spans="1:5" ht="37.5" x14ac:dyDescent="0.3">
      <c r="A124" s="143" t="s">
        <v>688</v>
      </c>
      <c r="B124" s="113" t="s">
        <v>1182</v>
      </c>
      <c r="C124" s="14" t="s">
        <v>50</v>
      </c>
      <c r="D124" s="72">
        <f>D125+D126</f>
        <v>1280.2</v>
      </c>
      <c r="E124" s="81"/>
    </row>
    <row r="125" spans="1:5" ht="37.5" x14ac:dyDescent="0.3">
      <c r="A125" s="143" t="s">
        <v>425</v>
      </c>
      <c r="B125" s="113" t="s">
        <v>1182</v>
      </c>
      <c r="C125" s="14" t="s">
        <v>59</v>
      </c>
      <c r="D125" s="72">
        <f>'В-25'!G136</f>
        <v>640.1</v>
      </c>
      <c r="E125" s="81"/>
    </row>
    <row r="126" spans="1:5" ht="37.5" x14ac:dyDescent="0.3">
      <c r="A126" s="143" t="s">
        <v>264</v>
      </c>
      <c r="B126" s="113" t="s">
        <v>1182</v>
      </c>
      <c r="C126" s="14" t="s">
        <v>261</v>
      </c>
      <c r="D126" s="72">
        <f>'В-25'!G137</f>
        <v>640.1</v>
      </c>
      <c r="E126" s="81"/>
    </row>
    <row r="127" spans="1:5" ht="61.5" hidden="1" customHeight="1" x14ac:dyDescent="0.3">
      <c r="A127" s="166" t="s">
        <v>132</v>
      </c>
      <c r="B127" s="20" t="s">
        <v>860</v>
      </c>
      <c r="C127" s="20" t="s">
        <v>50</v>
      </c>
      <c r="D127" s="72">
        <f>D128</f>
        <v>0</v>
      </c>
      <c r="E127" s="81"/>
    </row>
    <row r="128" spans="1:5" ht="75" hidden="1" x14ac:dyDescent="0.3">
      <c r="A128" s="143" t="s">
        <v>56</v>
      </c>
      <c r="B128" s="20" t="s">
        <v>860</v>
      </c>
      <c r="C128" s="14" t="s">
        <v>57</v>
      </c>
      <c r="D128" s="72">
        <f>'В-25'!G139</f>
        <v>0</v>
      </c>
      <c r="E128" s="81"/>
    </row>
    <row r="129" spans="1:5" ht="150" hidden="1" x14ac:dyDescent="0.3">
      <c r="A129" s="271" t="s">
        <v>1124</v>
      </c>
      <c r="B129" s="14" t="s">
        <v>1123</v>
      </c>
      <c r="C129" s="14" t="s">
        <v>50</v>
      </c>
      <c r="D129" s="72">
        <f>D130</f>
        <v>0</v>
      </c>
      <c r="E129" s="81"/>
    </row>
    <row r="130" spans="1:5" ht="37.5" hidden="1" x14ac:dyDescent="0.3">
      <c r="A130" s="143" t="s">
        <v>425</v>
      </c>
      <c r="B130" s="14" t="s">
        <v>1123</v>
      </c>
      <c r="C130" s="14" t="s">
        <v>59</v>
      </c>
      <c r="D130" s="72">
        <f>'В-25'!G82</f>
        <v>0</v>
      </c>
      <c r="E130" s="81"/>
    </row>
    <row r="131" spans="1:5" ht="37.5" x14ac:dyDescent="0.3">
      <c r="A131" s="143" t="s">
        <v>769</v>
      </c>
      <c r="B131" s="113" t="s">
        <v>1184</v>
      </c>
      <c r="C131" s="14" t="s">
        <v>50</v>
      </c>
      <c r="D131" s="72">
        <f>D132+D133</f>
        <v>1473.5</v>
      </c>
      <c r="E131" s="81"/>
    </row>
    <row r="132" spans="1:5" ht="37.5" x14ac:dyDescent="0.3">
      <c r="A132" s="143" t="s">
        <v>425</v>
      </c>
      <c r="B132" s="113" t="s">
        <v>1184</v>
      </c>
      <c r="C132" s="14" t="s">
        <v>59</v>
      </c>
      <c r="D132" s="72">
        <f>'В-25'!G141</f>
        <v>1168.7</v>
      </c>
      <c r="E132" s="81"/>
    </row>
    <row r="133" spans="1:5" ht="37.5" x14ac:dyDescent="0.3">
      <c r="A133" s="143" t="s">
        <v>264</v>
      </c>
      <c r="B133" s="113" t="s">
        <v>1184</v>
      </c>
      <c r="C133" s="14" t="s">
        <v>261</v>
      </c>
      <c r="D133" s="72">
        <f>'В-25'!G142</f>
        <v>304.8</v>
      </c>
      <c r="E133" s="81"/>
    </row>
    <row r="134" spans="1:5" ht="93.75" hidden="1" x14ac:dyDescent="0.3">
      <c r="A134" s="143" t="s">
        <v>930</v>
      </c>
      <c r="B134" s="14" t="s">
        <v>931</v>
      </c>
      <c r="C134" s="14" t="s">
        <v>50</v>
      </c>
      <c r="D134" s="72">
        <f>D135+D136</f>
        <v>0</v>
      </c>
      <c r="E134" s="81"/>
    </row>
    <row r="135" spans="1:5" ht="37.5" hidden="1" x14ac:dyDescent="0.3">
      <c r="A135" s="143" t="s">
        <v>425</v>
      </c>
      <c r="B135" s="14" t="s">
        <v>931</v>
      </c>
      <c r="C135" s="14" t="s">
        <v>59</v>
      </c>
      <c r="D135" s="72">
        <f>'В-25'!G144</f>
        <v>0</v>
      </c>
      <c r="E135" s="81"/>
    </row>
    <row r="136" spans="1:5" ht="37.5" hidden="1" x14ac:dyDescent="0.3">
      <c r="A136" s="143" t="s">
        <v>264</v>
      </c>
      <c r="B136" s="14" t="s">
        <v>931</v>
      </c>
      <c r="C136" s="14" t="s">
        <v>261</v>
      </c>
      <c r="D136" s="72">
        <f>'В-25'!G145</f>
        <v>0</v>
      </c>
      <c r="E136" s="81"/>
    </row>
    <row r="137" spans="1:5" ht="75" x14ac:dyDescent="0.3">
      <c r="A137" s="143" t="s">
        <v>926</v>
      </c>
      <c r="B137" s="14" t="s">
        <v>960</v>
      </c>
      <c r="C137" s="14" t="s">
        <v>50</v>
      </c>
      <c r="D137" s="72">
        <f>D138+D139</f>
        <v>539</v>
      </c>
      <c r="E137" s="81"/>
    </row>
    <row r="138" spans="1:5" ht="75" x14ac:dyDescent="0.3">
      <c r="A138" s="143" t="s">
        <v>56</v>
      </c>
      <c r="B138" s="14" t="s">
        <v>960</v>
      </c>
      <c r="C138" s="14" t="s">
        <v>57</v>
      </c>
      <c r="D138" s="72">
        <f>'В-25'!G147</f>
        <v>449.2</v>
      </c>
      <c r="E138" s="81"/>
    </row>
    <row r="139" spans="1:5" ht="37.5" x14ac:dyDescent="0.3">
      <c r="A139" s="143" t="s">
        <v>264</v>
      </c>
      <c r="B139" s="14" t="s">
        <v>960</v>
      </c>
      <c r="C139" s="14" t="s">
        <v>261</v>
      </c>
      <c r="D139" s="72">
        <f>'В-25'!G148</f>
        <v>89.8</v>
      </c>
      <c r="E139" s="81"/>
    </row>
    <row r="140" spans="1:5" ht="56.25" customHeight="1" x14ac:dyDescent="0.3">
      <c r="A140" s="143" t="s">
        <v>477</v>
      </c>
      <c r="B140" s="14" t="s">
        <v>924</v>
      </c>
      <c r="C140" s="14" t="s">
        <v>50</v>
      </c>
      <c r="D140" s="72">
        <f>D141+D142</f>
        <v>24435.9</v>
      </c>
      <c r="E140" s="81"/>
    </row>
    <row r="141" spans="1:5" ht="75" x14ac:dyDescent="0.3">
      <c r="A141" s="143" t="s">
        <v>56</v>
      </c>
      <c r="B141" s="14" t="s">
        <v>924</v>
      </c>
      <c r="C141" s="14" t="s">
        <v>57</v>
      </c>
      <c r="D141" s="72">
        <f>'В-25'!G150</f>
        <v>19405</v>
      </c>
      <c r="E141" s="81"/>
    </row>
    <row r="142" spans="1:5" ht="37.5" x14ac:dyDescent="0.3">
      <c r="A142" s="143" t="s">
        <v>264</v>
      </c>
      <c r="B142" s="14" t="s">
        <v>924</v>
      </c>
      <c r="C142" s="14" t="s">
        <v>261</v>
      </c>
      <c r="D142" s="72">
        <f>'В-25'!G151</f>
        <v>5030.8999999999996</v>
      </c>
      <c r="E142" s="81"/>
    </row>
    <row r="143" spans="1:5" ht="56.25" x14ac:dyDescent="0.3">
      <c r="A143" s="143" t="s">
        <v>611</v>
      </c>
      <c r="B143" s="14" t="s">
        <v>856</v>
      </c>
      <c r="C143" s="14" t="s">
        <v>50</v>
      </c>
      <c r="D143" s="72">
        <f>D144+D145</f>
        <v>16395</v>
      </c>
      <c r="E143" s="81"/>
    </row>
    <row r="144" spans="1:5" ht="37.5" x14ac:dyDescent="0.3">
      <c r="A144" s="143" t="s">
        <v>425</v>
      </c>
      <c r="B144" s="14" t="s">
        <v>856</v>
      </c>
      <c r="C144" s="14" t="s">
        <v>59</v>
      </c>
      <c r="D144" s="72">
        <f>'В-25'!G153</f>
        <v>12460.7</v>
      </c>
      <c r="E144" s="81"/>
    </row>
    <row r="145" spans="1:5" ht="37.5" x14ac:dyDescent="0.3">
      <c r="A145" s="143" t="s">
        <v>264</v>
      </c>
      <c r="B145" s="14" t="s">
        <v>856</v>
      </c>
      <c r="C145" s="14" t="s">
        <v>261</v>
      </c>
      <c r="D145" s="72">
        <f>'В-25'!G154</f>
        <v>3934.3</v>
      </c>
      <c r="E145" s="81"/>
    </row>
    <row r="146" spans="1:5" ht="18.75" hidden="1" x14ac:dyDescent="0.3">
      <c r="A146" s="143" t="s">
        <v>920</v>
      </c>
      <c r="B146" s="14" t="s">
        <v>921</v>
      </c>
      <c r="C146" s="14" t="s">
        <v>50</v>
      </c>
      <c r="D146" s="72">
        <f>D147</f>
        <v>0</v>
      </c>
      <c r="E146" s="81"/>
    </row>
    <row r="147" spans="1:5" ht="37.5" hidden="1" x14ac:dyDescent="0.3">
      <c r="A147" s="143" t="s">
        <v>425</v>
      </c>
      <c r="B147" s="14" t="s">
        <v>921</v>
      </c>
      <c r="C147" s="14" t="s">
        <v>59</v>
      </c>
      <c r="D147" s="72">
        <f>'В-25'!G75</f>
        <v>0</v>
      </c>
      <c r="E147" s="81"/>
    </row>
    <row r="148" spans="1:5" ht="37.5" hidden="1" x14ac:dyDescent="0.3">
      <c r="A148" s="156" t="s">
        <v>633</v>
      </c>
      <c r="B148" s="14" t="s">
        <v>695</v>
      </c>
      <c r="C148" s="14" t="s">
        <v>50</v>
      </c>
      <c r="D148" s="72">
        <f>D149</f>
        <v>0</v>
      </c>
      <c r="E148" s="81"/>
    </row>
    <row r="149" spans="1:5" ht="18.75" hidden="1" x14ac:dyDescent="0.3">
      <c r="A149" s="143" t="s">
        <v>759</v>
      </c>
      <c r="B149" s="14" t="s">
        <v>760</v>
      </c>
      <c r="C149" s="14" t="s">
        <v>50</v>
      </c>
      <c r="D149" s="72">
        <f>D150</f>
        <v>0</v>
      </c>
      <c r="E149" s="81"/>
    </row>
    <row r="150" spans="1:5" ht="75" hidden="1" x14ac:dyDescent="0.3">
      <c r="A150" s="209" t="s">
        <v>742</v>
      </c>
      <c r="B150" s="14" t="s">
        <v>741</v>
      </c>
      <c r="C150" s="14" t="s">
        <v>50</v>
      </c>
      <c r="D150" s="72">
        <f>D151</f>
        <v>0</v>
      </c>
      <c r="E150" s="81"/>
    </row>
    <row r="151" spans="1:5" ht="37.5" hidden="1" x14ac:dyDescent="0.3">
      <c r="A151" s="143" t="s">
        <v>425</v>
      </c>
      <c r="B151" s="14" t="s">
        <v>741</v>
      </c>
      <c r="C151" s="14" t="s">
        <v>59</v>
      </c>
      <c r="D151" s="72">
        <f>'В-25'!G164</f>
        <v>0</v>
      </c>
      <c r="E151" s="81"/>
    </row>
    <row r="152" spans="1:5" ht="37.5" x14ac:dyDescent="0.3">
      <c r="A152" s="232" t="s">
        <v>1151</v>
      </c>
      <c r="B152" s="113" t="s">
        <v>1176</v>
      </c>
      <c r="C152" s="14" t="s">
        <v>50</v>
      </c>
      <c r="D152" s="72">
        <f>D153</f>
        <v>108025.40000000001</v>
      </c>
      <c r="E152" s="81"/>
    </row>
    <row r="153" spans="1:5" ht="37.5" x14ac:dyDescent="0.3">
      <c r="A153" s="143" t="s">
        <v>425</v>
      </c>
      <c r="B153" s="113" t="s">
        <v>1176</v>
      </c>
      <c r="C153" s="14" t="s">
        <v>59</v>
      </c>
      <c r="D153" s="72">
        <f>'В-25'!G166</f>
        <v>108025.40000000001</v>
      </c>
      <c r="E153" s="81"/>
    </row>
    <row r="154" spans="1:5" ht="39" x14ac:dyDescent="0.35">
      <c r="A154" s="167" t="s">
        <v>139</v>
      </c>
      <c r="B154" s="63" t="s">
        <v>72</v>
      </c>
      <c r="C154" s="64" t="s">
        <v>50</v>
      </c>
      <c r="D154" s="197">
        <f>D155+D161</f>
        <v>3602.6</v>
      </c>
      <c r="E154" s="81"/>
    </row>
    <row r="155" spans="1:5" ht="37.5" x14ac:dyDescent="0.3">
      <c r="A155" s="143" t="s">
        <v>52</v>
      </c>
      <c r="B155" s="15" t="s">
        <v>150</v>
      </c>
      <c r="C155" s="15" t="s">
        <v>50</v>
      </c>
      <c r="D155" s="72">
        <f>D156+D159</f>
        <v>3602.6</v>
      </c>
      <c r="E155" s="81"/>
    </row>
    <row r="156" spans="1:5" ht="18.75" x14ac:dyDescent="0.3">
      <c r="A156" s="143" t="s">
        <v>78</v>
      </c>
      <c r="B156" s="15" t="s">
        <v>151</v>
      </c>
      <c r="C156" s="15" t="s">
        <v>50</v>
      </c>
      <c r="D156" s="72">
        <f>D157+D158</f>
        <v>3602.6</v>
      </c>
      <c r="E156" s="81"/>
    </row>
    <row r="157" spans="1:5" ht="75" x14ac:dyDescent="0.3">
      <c r="A157" s="143" t="s">
        <v>56</v>
      </c>
      <c r="B157" s="15" t="s">
        <v>151</v>
      </c>
      <c r="C157" s="15" t="s">
        <v>57</v>
      </c>
      <c r="D157" s="72">
        <f>'В-25'!G301</f>
        <v>3520</v>
      </c>
      <c r="E157" s="81"/>
    </row>
    <row r="158" spans="1:5" ht="37.5" x14ac:dyDescent="0.3">
      <c r="A158" s="143" t="s">
        <v>425</v>
      </c>
      <c r="B158" s="15" t="s">
        <v>151</v>
      </c>
      <c r="C158" s="15" t="s">
        <v>59</v>
      </c>
      <c r="D158" s="72">
        <f>'В-25'!G302</f>
        <v>82.6</v>
      </c>
      <c r="E158" s="81"/>
    </row>
    <row r="159" spans="1:5" ht="37.5" hidden="1" x14ac:dyDescent="0.3">
      <c r="A159" s="162" t="s">
        <v>374</v>
      </c>
      <c r="B159" s="15" t="s">
        <v>509</v>
      </c>
      <c r="C159" s="15" t="s">
        <v>50</v>
      </c>
      <c r="D159" s="72">
        <f>D160</f>
        <v>0</v>
      </c>
      <c r="E159" s="81"/>
    </row>
    <row r="160" spans="1:5" ht="75" hidden="1" x14ac:dyDescent="0.3">
      <c r="A160" s="143" t="s">
        <v>56</v>
      </c>
      <c r="B160" s="15" t="s">
        <v>509</v>
      </c>
      <c r="C160" s="15" t="s">
        <v>57</v>
      </c>
      <c r="D160" s="72">
        <f>'В-25'!G304</f>
        <v>0</v>
      </c>
      <c r="E160" s="81"/>
    </row>
    <row r="161" spans="1:5" ht="18.75" hidden="1" x14ac:dyDescent="0.3">
      <c r="A161" s="143" t="s">
        <v>62</v>
      </c>
      <c r="B161" s="14" t="s">
        <v>154</v>
      </c>
      <c r="C161" s="14" t="s">
        <v>50</v>
      </c>
      <c r="D161" s="72">
        <f>D162</f>
        <v>0</v>
      </c>
      <c r="E161" s="81"/>
    </row>
    <row r="162" spans="1:5" ht="18.75" hidden="1" x14ac:dyDescent="0.3">
      <c r="A162" s="143" t="s">
        <v>153</v>
      </c>
      <c r="B162" s="14" t="s">
        <v>155</v>
      </c>
      <c r="C162" s="14" t="s">
        <v>50</v>
      </c>
      <c r="D162" s="72">
        <f>D163+D164+D165</f>
        <v>0</v>
      </c>
      <c r="E162" s="81"/>
    </row>
    <row r="163" spans="1:5" ht="37.5" hidden="1" x14ac:dyDescent="0.3">
      <c r="A163" s="143" t="s">
        <v>425</v>
      </c>
      <c r="B163" s="14" t="s">
        <v>155</v>
      </c>
      <c r="C163" s="14" t="s">
        <v>59</v>
      </c>
      <c r="D163" s="72">
        <f>'В-25'!G307</f>
        <v>0</v>
      </c>
      <c r="E163" s="81"/>
    </row>
    <row r="164" spans="1:5" ht="18.75" hidden="1" x14ac:dyDescent="0.3">
      <c r="A164" s="143" t="s">
        <v>175</v>
      </c>
      <c r="B164" s="14" t="s">
        <v>155</v>
      </c>
      <c r="C164" s="14" t="s">
        <v>176</v>
      </c>
      <c r="D164" s="72">
        <f>'В-25'!G1429+'В-25'!G333</f>
        <v>0</v>
      </c>
      <c r="E164" s="81"/>
    </row>
    <row r="165" spans="1:5" ht="37.5" hidden="1" x14ac:dyDescent="0.3">
      <c r="A165" s="143" t="s">
        <v>264</v>
      </c>
      <c r="B165" s="14" t="s">
        <v>155</v>
      </c>
      <c r="C165" s="14" t="s">
        <v>261</v>
      </c>
      <c r="D165" s="72">
        <f>'В-25'!G334</f>
        <v>0</v>
      </c>
      <c r="E165" s="81"/>
    </row>
    <row r="166" spans="1:5" ht="59.25" customHeight="1" x14ac:dyDescent="0.35">
      <c r="A166" s="161" t="s">
        <v>140</v>
      </c>
      <c r="B166" s="63" t="s">
        <v>77</v>
      </c>
      <c r="C166" s="64" t="s">
        <v>50</v>
      </c>
      <c r="D166" s="197">
        <f>D167+D182+D186+D189+D191</f>
        <v>2408.9</v>
      </c>
      <c r="E166" s="81"/>
    </row>
    <row r="167" spans="1:5" ht="18.75" hidden="1" x14ac:dyDescent="0.3">
      <c r="A167" s="143" t="s">
        <v>62</v>
      </c>
      <c r="B167" s="14" t="s">
        <v>152</v>
      </c>
      <c r="C167" s="14" t="s">
        <v>50</v>
      </c>
      <c r="D167" s="72">
        <f>D171+D168+D173+D175+D177+D179</f>
        <v>0</v>
      </c>
      <c r="E167" s="81"/>
    </row>
    <row r="168" spans="1:5" ht="18.75" hidden="1" x14ac:dyDescent="0.3">
      <c r="A168" s="143" t="s">
        <v>164</v>
      </c>
      <c r="B168" s="14" t="s">
        <v>455</v>
      </c>
      <c r="C168" s="14" t="s">
        <v>50</v>
      </c>
      <c r="D168" s="72">
        <f>D169+D170</f>
        <v>0</v>
      </c>
      <c r="E168" s="81"/>
    </row>
    <row r="169" spans="1:5" ht="18.75" hidden="1" x14ac:dyDescent="0.3">
      <c r="A169" s="143" t="s">
        <v>58</v>
      </c>
      <c r="B169" s="14" t="s">
        <v>455</v>
      </c>
      <c r="C169" s="14" t="s">
        <v>59</v>
      </c>
      <c r="D169" s="72">
        <f>'В-25'!G238</f>
        <v>0</v>
      </c>
      <c r="E169" s="81"/>
    </row>
    <row r="170" spans="1:5" ht="37.5" hidden="1" x14ac:dyDescent="0.3">
      <c r="A170" s="143" t="s">
        <v>264</v>
      </c>
      <c r="B170" s="14" t="s">
        <v>455</v>
      </c>
      <c r="C170" s="14" t="s">
        <v>261</v>
      </c>
      <c r="D170" s="72">
        <f>'В-25'!G247+'В-25'!G1258</f>
        <v>0</v>
      </c>
      <c r="E170" s="81"/>
    </row>
    <row r="171" spans="1:5" ht="18.75" hidden="1" outlineLevel="1" x14ac:dyDescent="0.3">
      <c r="A171" s="143" t="s">
        <v>156</v>
      </c>
      <c r="B171" s="14" t="s">
        <v>157</v>
      </c>
      <c r="C171" s="14" t="s">
        <v>50</v>
      </c>
      <c r="D171" s="72">
        <f>D172</f>
        <v>0</v>
      </c>
      <c r="E171" s="81"/>
    </row>
    <row r="172" spans="1:5" ht="37.5" hidden="1" outlineLevel="1" x14ac:dyDescent="0.3">
      <c r="A172" s="143" t="s">
        <v>425</v>
      </c>
      <c r="B172" s="14" t="s">
        <v>157</v>
      </c>
      <c r="C172" s="14" t="s">
        <v>59</v>
      </c>
      <c r="D172" s="72">
        <f>'[2]В-21'!G133</f>
        <v>0</v>
      </c>
      <c r="E172" s="81"/>
    </row>
    <row r="173" spans="1:5" ht="18.75" hidden="1" collapsed="1" x14ac:dyDescent="0.3">
      <c r="A173" s="143" t="s">
        <v>66</v>
      </c>
      <c r="B173" s="14" t="s">
        <v>456</v>
      </c>
      <c r="C173" s="14" t="s">
        <v>50</v>
      </c>
      <c r="D173" s="72">
        <f>D174</f>
        <v>0</v>
      </c>
      <c r="E173" s="81"/>
    </row>
    <row r="174" spans="1:5" ht="37.5" hidden="1" x14ac:dyDescent="0.3">
      <c r="A174" s="143" t="s">
        <v>425</v>
      </c>
      <c r="B174" s="14" t="s">
        <v>456</v>
      </c>
      <c r="C174" s="14" t="s">
        <v>59</v>
      </c>
      <c r="D174" s="72">
        <f>'В-25'!G244</f>
        <v>0</v>
      </c>
      <c r="E174" s="81"/>
    </row>
    <row r="175" spans="1:5" ht="42" hidden="1" customHeight="1" x14ac:dyDescent="0.3">
      <c r="A175" s="143" t="s">
        <v>500</v>
      </c>
      <c r="B175" s="14" t="s">
        <v>499</v>
      </c>
      <c r="C175" s="14" t="s">
        <v>50</v>
      </c>
      <c r="D175" s="72">
        <f>D176</f>
        <v>0</v>
      </c>
      <c r="E175" s="81"/>
    </row>
    <row r="176" spans="1:5" ht="37.5" hidden="1" x14ac:dyDescent="0.3">
      <c r="A176" s="143" t="s">
        <v>425</v>
      </c>
      <c r="B176" s="14" t="s">
        <v>499</v>
      </c>
      <c r="C176" s="14" t="s">
        <v>59</v>
      </c>
      <c r="D176" s="72">
        <f>'[2]В-21'!G137</f>
        <v>0</v>
      </c>
      <c r="E176" s="81"/>
    </row>
    <row r="177" spans="1:5" ht="18.75" hidden="1" x14ac:dyDescent="0.3">
      <c r="A177" s="143" t="s">
        <v>75</v>
      </c>
      <c r="B177" s="14" t="s">
        <v>614</v>
      </c>
      <c r="C177" s="14" t="s">
        <v>50</v>
      </c>
      <c r="D177" s="72">
        <f>D178</f>
        <v>0</v>
      </c>
      <c r="E177" s="81"/>
    </row>
    <row r="178" spans="1:5" ht="37.5" hidden="1" x14ac:dyDescent="0.3">
      <c r="A178" s="143" t="s">
        <v>425</v>
      </c>
      <c r="B178" s="14" t="s">
        <v>614</v>
      </c>
      <c r="C178" s="14" t="s">
        <v>59</v>
      </c>
      <c r="D178" s="72">
        <f>'В-25'!G249</f>
        <v>0</v>
      </c>
      <c r="E178" s="81"/>
    </row>
    <row r="179" spans="1:5" ht="18.75" hidden="1" x14ac:dyDescent="0.3">
      <c r="A179" s="143" t="s">
        <v>311</v>
      </c>
      <c r="B179" s="14" t="s">
        <v>758</v>
      </c>
      <c r="C179" s="14" t="s">
        <v>50</v>
      </c>
      <c r="D179" s="72">
        <f>D180+D181</f>
        <v>0</v>
      </c>
      <c r="E179" s="81"/>
    </row>
    <row r="180" spans="1:5" ht="37.5" hidden="1" x14ac:dyDescent="0.3">
      <c r="A180" s="143" t="s">
        <v>425</v>
      </c>
      <c r="B180" s="14" t="s">
        <v>758</v>
      </c>
      <c r="C180" s="14" t="s">
        <v>59</v>
      </c>
      <c r="D180" s="72">
        <f>'В-25'!G242</f>
        <v>0</v>
      </c>
      <c r="E180" s="81"/>
    </row>
    <row r="181" spans="1:5" ht="37.5" hidden="1" x14ac:dyDescent="0.3">
      <c r="A181" s="143" t="s">
        <v>264</v>
      </c>
      <c r="B181" s="14" t="s">
        <v>758</v>
      </c>
      <c r="C181" s="14" t="s">
        <v>261</v>
      </c>
      <c r="D181" s="72">
        <f>'В-25'!G1261</f>
        <v>0</v>
      </c>
      <c r="E181" s="81"/>
    </row>
    <row r="182" spans="1:5" ht="56.25" hidden="1" x14ac:dyDescent="0.3">
      <c r="A182" s="143" t="s">
        <v>249</v>
      </c>
      <c r="B182" s="14" t="s">
        <v>849</v>
      </c>
      <c r="C182" s="14" t="s">
        <v>50</v>
      </c>
      <c r="D182" s="72">
        <f>D183</f>
        <v>2384.8000000000002</v>
      </c>
      <c r="E182" s="81"/>
    </row>
    <row r="183" spans="1:5" ht="37.5" x14ac:dyDescent="0.3">
      <c r="A183" s="143" t="s">
        <v>301</v>
      </c>
      <c r="B183" s="113" t="s">
        <v>1169</v>
      </c>
      <c r="C183" s="14" t="s">
        <v>50</v>
      </c>
      <c r="D183" s="72">
        <f>D184+D185</f>
        <v>2384.8000000000002</v>
      </c>
      <c r="E183" s="81"/>
    </row>
    <row r="184" spans="1:5" ht="37.5" x14ac:dyDescent="0.3">
      <c r="A184" s="143" t="s">
        <v>425</v>
      </c>
      <c r="B184" s="113" t="s">
        <v>1169</v>
      </c>
      <c r="C184" s="14" t="s">
        <v>59</v>
      </c>
      <c r="D184" s="72">
        <f>'В-25'!G252</f>
        <v>2384.8000000000002</v>
      </c>
      <c r="E184" s="81"/>
    </row>
    <row r="185" spans="1:5" ht="37.5" hidden="1" x14ac:dyDescent="0.3">
      <c r="A185" s="143" t="s">
        <v>264</v>
      </c>
      <c r="B185" s="113" t="s">
        <v>1169</v>
      </c>
      <c r="C185" s="14" t="s">
        <v>261</v>
      </c>
      <c r="D185" s="72">
        <f>'В-25'!G253+'В-25'!G1263</f>
        <v>0</v>
      </c>
      <c r="E185" s="81"/>
    </row>
    <row r="186" spans="1:5" ht="37.5" x14ac:dyDescent="0.3">
      <c r="A186" s="143" t="s">
        <v>301</v>
      </c>
      <c r="B186" s="113" t="s">
        <v>1170</v>
      </c>
      <c r="C186" s="14" t="s">
        <v>50</v>
      </c>
      <c r="D186" s="72">
        <f>D187+D188</f>
        <v>24.1</v>
      </c>
      <c r="E186" s="81"/>
    </row>
    <row r="187" spans="1:5" ht="37.5" x14ac:dyDescent="0.3">
      <c r="A187" s="143" t="s">
        <v>425</v>
      </c>
      <c r="B187" s="113" t="s">
        <v>1170</v>
      </c>
      <c r="C187" s="14" t="s">
        <v>59</v>
      </c>
      <c r="D187" s="72">
        <f>'В-25'!G255</f>
        <v>24.1</v>
      </c>
      <c r="E187" s="81"/>
    </row>
    <row r="188" spans="1:5" ht="37.5" hidden="1" x14ac:dyDescent="0.3">
      <c r="A188" s="143" t="s">
        <v>264</v>
      </c>
      <c r="B188" s="113" t="s">
        <v>1170</v>
      </c>
      <c r="C188" s="14" t="s">
        <v>261</v>
      </c>
      <c r="D188" s="72">
        <f>'В-25'!G256+'В-25'!G1265</f>
        <v>0</v>
      </c>
      <c r="E188" s="81"/>
    </row>
    <row r="189" spans="1:5" ht="18.75" hidden="1" x14ac:dyDescent="0.3">
      <c r="A189" s="232" t="s">
        <v>903</v>
      </c>
      <c r="B189" s="13" t="s">
        <v>901</v>
      </c>
      <c r="C189" s="14" t="s">
        <v>50</v>
      </c>
      <c r="D189" s="72">
        <f>D190</f>
        <v>0</v>
      </c>
      <c r="E189" s="81"/>
    </row>
    <row r="190" spans="1:5" ht="37.5" hidden="1" x14ac:dyDescent="0.3">
      <c r="A190" s="143" t="s">
        <v>425</v>
      </c>
      <c r="B190" s="13" t="s">
        <v>901</v>
      </c>
      <c r="C190" s="14" t="s">
        <v>59</v>
      </c>
      <c r="D190" s="72">
        <f>'В-25'!G439</f>
        <v>0</v>
      </c>
      <c r="E190" s="81"/>
    </row>
    <row r="191" spans="1:5" ht="18.75" hidden="1" x14ac:dyDescent="0.3">
      <c r="A191" s="232" t="s">
        <v>903</v>
      </c>
      <c r="B191" s="13" t="s">
        <v>902</v>
      </c>
      <c r="C191" s="14" t="s">
        <v>50</v>
      </c>
      <c r="D191" s="72">
        <f>D192</f>
        <v>0</v>
      </c>
      <c r="E191" s="81"/>
    </row>
    <row r="192" spans="1:5" ht="37.5" hidden="1" x14ac:dyDescent="0.3">
      <c r="A192" s="143" t="s">
        <v>425</v>
      </c>
      <c r="B192" s="13" t="s">
        <v>902</v>
      </c>
      <c r="C192" s="14" t="s">
        <v>59</v>
      </c>
      <c r="D192" s="72">
        <f>'В-25'!G441</f>
        <v>0</v>
      </c>
      <c r="E192" s="81"/>
    </row>
    <row r="193" spans="1:5" ht="39" x14ac:dyDescent="0.35">
      <c r="A193" s="161" t="s">
        <v>141</v>
      </c>
      <c r="B193" s="63" t="s">
        <v>79</v>
      </c>
      <c r="C193" s="64" t="s">
        <v>50</v>
      </c>
      <c r="D193" s="197">
        <f>D199+D213+D231+D209+D207+D194+D218+D220+D237</f>
        <v>5388.5</v>
      </c>
      <c r="E193" s="81"/>
    </row>
    <row r="194" spans="1:5" ht="37.5" x14ac:dyDescent="0.3">
      <c r="A194" s="156" t="s">
        <v>1134</v>
      </c>
      <c r="B194" s="14" t="s">
        <v>1132</v>
      </c>
      <c r="C194" s="14" t="s">
        <v>50</v>
      </c>
      <c r="D194" s="72">
        <f>D195</f>
        <v>1590.6999999999998</v>
      </c>
      <c r="E194" s="81"/>
    </row>
    <row r="195" spans="1:5" ht="37.5" hidden="1" x14ac:dyDescent="0.3">
      <c r="A195" s="143" t="s">
        <v>692</v>
      </c>
      <c r="B195" s="14" t="s">
        <v>693</v>
      </c>
      <c r="C195" s="14" t="s">
        <v>50</v>
      </c>
      <c r="D195" s="72">
        <f>D196</f>
        <v>1590.6999999999998</v>
      </c>
      <c r="E195" s="81"/>
    </row>
    <row r="196" spans="1:5" ht="75" x14ac:dyDescent="0.3">
      <c r="A196" s="143" t="s">
        <v>694</v>
      </c>
      <c r="B196" s="14" t="s">
        <v>1133</v>
      </c>
      <c r="C196" s="14" t="s">
        <v>50</v>
      </c>
      <c r="D196" s="72">
        <f>D197+D198</f>
        <v>1590.6999999999998</v>
      </c>
      <c r="E196" s="81"/>
    </row>
    <row r="197" spans="1:5" ht="75" x14ac:dyDescent="0.3">
      <c r="A197" s="143" t="s">
        <v>56</v>
      </c>
      <c r="B197" s="14" t="s">
        <v>1133</v>
      </c>
      <c r="C197" s="14" t="s">
        <v>57</v>
      </c>
      <c r="D197" s="72">
        <f>'В-25'!G171</f>
        <v>1325.6</v>
      </c>
      <c r="E197" s="81"/>
    </row>
    <row r="198" spans="1:5" ht="37.5" x14ac:dyDescent="0.3">
      <c r="A198" s="143" t="s">
        <v>264</v>
      </c>
      <c r="B198" s="14" t="s">
        <v>1133</v>
      </c>
      <c r="C198" s="14" t="s">
        <v>261</v>
      </c>
      <c r="D198" s="72">
        <f>'В-25'!G172</f>
        <v>265.09999999999997</v>
      </c>
      <c r="E198" s="81"/>
    </row>
    <row r="199" spans="1:5" ht="36.75" customHeight="1" x14ac:dyDescent="0.3">
      <c r="A199" s="143" t="s">
        <v>52</v>
      </c>
      <c r="B199" s="14" t="s">
        <v>162</v>
      </c>
      <c r="C199" s="14" t="s">
        <v>50</v>
      </c>
      <c r="D199" s="72">
        <f>D200+D211+D204</f>
        <v>3797.8</v>
      </c>
      <c r="E199" s="81"/>
    </row>
    <row r="200" spans="1:5" ht="18.75" x14ac:dyDescent="0.3">
      <c r="A200" s="143" t="s">
        <v>82</v>
      </c>
      <c r="B200" s="14" t="s">
        <v>163</v>
      </c>
      <c r="C200" s="14" t="s">
        <v>50</v>
      </c>
      <c r="D200" s="72">
        <f>D201+D202+D222+D206+D203</f>
        <v>3797.8</v>
      </c>
      <c r="E200" s="81"/>
    </row>
    <row r="201" spans="1:5" ht="75" x14ac:dyDescent="0.3">
      <c r="A201" s="143" t="s">
        <v>56</v>
      </c>
      <c r="B201" s="14" t="s">
        <v>163</v>
      </c>
      <c r="C201" s="14" t="s">
        <v>57</v>
      </c>
      <c r="D201" s="72">
        <f>'В-25'!G260</f>
        <v>3303.9</v>
      </c>
      <c r="E201" s="81"/>
    </row>
    <row r="202" spans="1:5" ht="37.5" x14ac:dyDescent="0.3">
      <c r="A202" s="143" t="s">
        <v>425</v>
      </c>
      <c r="B202" s="14" t="s">
        <v>163</v>
      </c>
      <c r="C202" s="14" t="s">
        <v>59</v>
      </c>
      <c r="D202" s="72">
        <f>'В-25'!G261</f>
        <v>401.80000000000007</v>
      </c>
      <c r="E202" s="81"/>
    </row>
    <row r="203" spans="1:5" ht="18.75" x14ac:dyDescent="0.3">
      <c r="A203" s="143" t="s">
        <v>60</v>
      </c>
      <c r="B203" s="14" t="s">
        <v>163</v>
      </c>
      <c r="C203" s="14" t="s">
        <v>61</v>
      </c>
      <c r="D203" s="72">
        <f>'В-25'!G262</f>
        <v>92.1</v>
      </c>
      <c r="E203" s="81"/>
    </row>
    <row r="204" spans="1:5" ht="37.5" hidden="1" x14ac:dyDescent="0.3">
      <c r="A204" s="162" t="s">
        <v>374</v>
      </c>
      <c r="B204" s="14" t="s">
        <v>507</v>
      </c>
      <c r="C204" s="14" t="s">
        <v>50</v>
      </c>
      <c r="D204" s="72">
        <f>D205</f>
        <v>0</v>
      </c>
      <c r="E204" s="81"/>
    </row>
    <row r="205" spans="1:5" ht="75" hidden="1" x14ac:dyDescent="0.3">
      <c r="A205" s="143" t="s">
        <v>56</v>
      </c>
      <c r="B205" s="14" t="s">
        <v>507</v>
      </c>
      <c r="C205" s="14" t="s">
        <v>57</v>
      </c>
      <c r="D205" s="72">
        <f>'В-25'!G264</f>
        <v>0</v>
      </c>
      <c r="E205" s="81"/>
    </row>
    <row r="206" spans="1:5" ht="18.75" hidden="1" x14ac:dyDescent="0.3">
      <c r="A206" s="143" t="s">
        <v>60</v>
      </c>
      <c r="B206" s="14" t="s">
        <v>507</v>
      </c>
      <c r="C206" s="14" t="s">
        <v>61</v>
      </c>
      <c r="D206" s="72">
        <f>'В-25'!G265</f>
        <v>0</v>
      </c>
      <c r="E206" s="81"/>
    </row>
    <row r="207" spans="1:5" ht="18.75" hidden="1" x14ac:dyDescent="0.3">
      <c r="A207" s="143" t="s">
        <v>164</v>
      </c>
      <c r="B207" s="14" t="s">
        <v>1118</v>
      </c>
      <c r="C207" s="14" t="s">
        <v>50</v>
      </c>
      <c r="D207" s="72">
        <f>D208</f>
        <v>0</v>
      </c>
      <c r="E207" s="81"/>
    </row>
    <row r="208" spans="1:5" ht="37.5" hidden="1" x14ac:dyDescent="0.3">
      <c r="A208" s="143" t="s">
        <v>425</v>
      </c>
      <c r="B208" s="14" t="s">
        <v>1118</v>
      </c>
      <c r="C208" s="14" t="s">
        <v>59</v>
      </c>
      <c r="D208" s="72">
        <f>'В-25'!G268</f>
        <v>0</v>
      </c>
      <c r="E208" s="81"/>
    </row>
    <row r="209" spans="1:5" ht="18.75" hidden="1" x14ac:dyDescent="0.3">
      <c r="A209" s="143" t="s">
        <v>311</v>
      </c>
      <c r="B209" s="14" t="s">
        <v>530</v>
      </c>
      <c r="C209" s="14" t="s">
        <v>50</v>
      </c>
      <c r="D209" s="72">
        <f>D210</f>
        <v>0</v>
      </c>
      <c r="E209" s="81"/>
    </row>
    <row r="210" spans="1:5" ht="37.5" hidden="1" x14ac:dyDescent="0.3">
      <c r="A210" s="143" t="s">
        <v>425</v>
      </c>
      <c r="B210" s="14" t="s">
        <v>530</v>
      </c>
      <c r="C210" s="14" t="s">
        <v>59</v>
      </c>
      <c r="D210" s="72">
        <f>'В-25'!G1272</f>
        <v>0</v>
      </c>
      <c r="E210" s="81"/>
    </row>
    <row r="211" spans="1:5" ht="37.5" hidden="1" x14ac:dyDescent="0.3">
      <c r="A211" s="162" t="s">
        <v>374</v>
      </c>
      <c r="B211" s="14" t="s">
        <v>507</v>
      </c>
      <c r="C211" s="14" t="s">
        <v>50</v>
      </c>
      <c r="D211" s="72">
        <f>D212</f>
        <v>0</v>
      </c>
      <c r="E211" s="81"/>
    </row>
    <row r="212" spans="1:5" ht="75" hidden="1" x14ac:dyDescent="0.3">
      <c r="A212" s="143" t="s">
        <v>56</v>
      </c>
      <c r="B212" s="14" t="s">
        <v>507</v>
      </c>
      <c r="C212" s="14" t="s">
        <v>57</v>
      </c>
      <c r="D212" s="72">
        <f>'[2]В-21'!G149</f>
        <v>0</v>
      </c>
      <c r="E212" s="81"/>
    </row>
    <row r="213" spans="1:5" ht="18.75" hidden="1" x14ac:dyDescent="0.3">
      <c r="A213" s="143" t="s">
        <v>62</v>
      </c>
      <c r="B213" s="14" t="s">
        <v>80</v>
      </c>
      <c r="C213" s="14" t="s">
        <v>50</v>
      </c>
      <c r="D213" s="72">
        <f>D214+D216</f>
        <v>0</v>
      </c>
      <c r="E213" s="81"/>
    </row>
    <row r="214" spans="1:5" ht="18.75" hidden="1" outlineLevel="1" x14ac:dyDescent="0.3">
      <c r="A214" s="143" t="s">
        <v>164</v>
      </c>
      <c r="B214" s="14" t="s">
        <v>165</v>
      </c>
      <c r="C214" s="14" t="s">
        <v>50</v>
      </c>
      <c r="D214" s="72">
        <f>D215</f>
        <v>0</v>
      </c>
      <c r="E214" s="81"/>
    </row>
    <row r="215" spans="1:5" ht="37.5" hidden="1" outlineLevel="1" x14ac:dyDescent="0.3">
      <c r="A215" s="143" t="s">
        <v>425</v>
      </c>
      <c r="B215" s="14" t="s">
        <v>165</v>
      </c>
      <c r="C215" s="14" t="s">
        <v>59</v>
      </c>
      <c r="D215" s="72">
        <f>'[2]В-21'!G152</f>
        <v>0</v>
      </c>
      <c r="E215" s="81"/>
    </row>
    <row r="216" spans="1:5" ht="37.5" hidden="1" x14ac:dyDescent="0.3">
      <c r="A216" s="143" t="s">
        <v>468</v>
      </c>
      <c r="B216" s="15" t="s">
        <v>467</v>
      </c>
      <c r="C216" s="15" t="s">
        <v>50</v>
      </c>
      <c r="D216" s="72">
        <f>D217</f>
        <v>0</v>
      </c>
      <c r="E216" s="81"/>
    </row>
    <row r="217" spans="1:5" ht="37.5" hidden="1" x14ac:dyDescent="0.3">
      <c r="A217" s="143" t="s">
        <v>425</v>
      </c>
      <c r="B217" s="15" t="s">
        <v>467</v>
      </c>
      <c r="C217" s="15" t="s">
        <v>59</v>
      </c>
      <c r="D217" s="72">
        <f>'[2]В-21'!G584</f>
        <v>0</v>
      </c>
      <c r="E217" s="81"/>
    </row>
    <row r="218" spans="1:5" ht="18.75" hidden="1" x14ac:dyDescent="0.3">
      <c r="A218" s="143" t="s">
        <v>311</v>
      </c>
      <c r="B218" s="14" t="s">
        <v>530</v>
      </c>
      <c r="C218" s="14" t="s">
        <v>50</v>
      </c>
      <c r="D218" s="72">
        <f>D219</f>
        <v>0</v>
      </c>
      <c r="E218" s="81"/>
    </row>
    <row r="219" spans="1:5" ht="37.5" hidden="1" x14ac:dyDescent="0.3">
      <c r="A219" s="143" t="s">
        <v>425</v>
      </c>
      <c r="B219" s="14" t="s">
        <v>530</v>
      </c>
      <c r="C219" s="14" t="s">
        <v>59</v>
      </c>
      <c r="D219" s="72">
        <f>'В-25'!G280+'В-25'!G1272</f>
        <v>0</v>
      </c>
      <c r="E219" s="81"/>
    </row>
    <row r="220" spans="1:5" ht="18.75" hidden="1" x14ac:dyDescent="0.3">
      <c r="A220" s="163" t="s">
        <v>64</v>
      </c>
      <c r="B220" s="14" t="s">
        <v>777</v>
      </c>
      <c r="C220" s="14" t="s">
        <v>50</v>
      </c>
      <c r="D220" s="72">
        <f>D221</f>
        <v>0</v>
      </c>
      <c r="E220" s="81"/>
    </row>
    <row r="221" spans="1:5" ht="37.5" hidden="1" x14ac:dyDescent="0.3">
      <c r="A221" s="143" t="s">
        <v>425</v>
      </c>
      <c r="B221" s="14" t="s">
        <v>777</v>
      </c>
      <c r="C221" s="14" t="s">
        <v>59</v>
      </c>
      <c r="D221" s="72">
        <f>'В-25'!G282</f>
        <v>0</v>
      </c>
      <c r="E221" s="81"/>
    </row>
    <row r="222" spans="1:5" ht="18.75" hidden="1" x14ac:dyDescent="0.3">
      <c r="A222" s="143" t="s">
        <v>60</v>
      </c>
      <c r="B222" s="14" t="s">
        <v>163</v>
      </c>
      <c r="C222" s="14" t="s">
        <v>61</v>
      </c>
      <c r="D222" s="72">
        <f>'В-25'!G283</f>
        <v>0</v>
      </c>
      <c r="E222" s="81"/>
    </row>
    <row r="223" spans="1:5" ht="19.5" hidden="1" outlineLevel="1" x14ac:dyDescent="0.35">
      <c r="A223" s="168" t="s">
        <v>83</v>
      </c>
      <c r="B223" s="63" t="s">
        <v>84</v>
      </c>
      <c r="C223" s="64" t="s">
        <v>50</v>
      </c>
      <c r="D223" s="197">
        <f>D224+D228+D235</f>
        <v>0</v>
      </c>
      <c r="E223" s="81"/>
    </row>
    <row r="224" spans="1:5" ht="56.25" hidden="1" outlineLevel="1" x14ac:dyDescent="0.3">
      <c r="A224" s="143" t="s">
        <v>249</v>
      </c>
      <c r="B224" s="14" t="s">
        <v>300</v>
      </c>
      <c r="C224" s="14" t="s">
        <v>50</v>
      </c>
      <c r="D224" s="72">
        <f>D225</f>
        <v>0</v>
      </c>
      <c r="E224" s="81"/>
    </row>
    <row r="225" spans="1:5" ht="37.5" hidden="1" outlineLevel="1" x14ac:dyDescent="0.3">
      <c r="A225" s="143" t="s">
        <v>301</v>
      </c>
      <c r="B225" s="14" t="s">
        <v>302</v>
      </c>
      <c r="C225" s="14" t="s">
        <v>50</v>
      </c>
      <c r="D225" s="72">
        <f>D226+D227</f>
        <v>0</v>
      </c>
      <c r="E225" s="81"/>
    </row>
    <row r="226" spans="1:5" ht="18.75" hidden="1" outlineLevel="1" x14ac:dyDescent="0.3">
      <c r="A226" s="143" t="s">
        <v>58</v>
      </c>
      <c r="B226" s="14" t="s">
        <v>302</v>
      </c>
      <c r="C226" s="14" t="s">
        <v>59</v>
      </c>
      <c r="D226" s="72">
        <f>'[2]В-21'!G156</f>
        <v>0</v>
      </c>
      <c r="E226" s="81"/>
    </row>
    <row r="227" spans="1:5" ht="37.5" hidden="1" outlineLevel="1" x14ac:dyDescent="0.3">
      <c r="A227" s="143" t="s">
        <v>264</v>
      </c>
      <c r="B227" s="14" t="s">
        <v>302</v>
      </c>
      <c r="C227" s="14" t="s">
        <v>261</v>
      </c>
      <c r="D227" s="72"/>
      <c r="E227" s="81"/>
    </row>
    <row r="228" spans="1:5" ht="37.5" hidden="1" outlineLevel="1" x14ac:dyDescent="0.3">
      <c r="A228" s="143" t="s">
        <v>301</v>
      </c>
      <c r="B228" s="14" t="s">
        <v>303</v>
      </c>
      <c r="C228" s="14" t="s">
        <v>50</v>
      </c>
      <c r="D228" s="72">
        <f>D229+D230</f>
        <v>0</v>
      </c>
      <c r="E228" s="81"/>
    </row>
    <row r="229" spans="1:5" ht="18.75" hidden="1" outlineLevel="1" x14ac:dyDescent="0.3">
      <c r="A229" s="143" t="s">
        <v>58</v>
      </c>
      <c r="B229" s="14" t="s">
        <v>303</v>
      </c>
      <c r="C229" s="14" t="s">
        <v>59</v>
      </c>
      <c r="D229" s="72">
        <f>'[2]В-21'!G158</f>
        <v>0</v>
      </c>
      <c r="E229" s="81"/>
    </row>
    <row r="230" spans="1:5" ht="37.5" hidden="1" outlineLevel="1" x14ac:dyDescent="0.3">
      <c r="A230" s="143" t="s">
        <v>264</v>
      </c>
      <c r="B230" s="14" t="s">
        <v>303</v>
      </c>
      <c r="C230" s="14" t="s">
        <v>261</v>
      </c>
      <c r="D230" s="72"/>
      <c r="E230" s="81"/>
    </row>
    <row r="231" spans="1:5" ht="24.75" hidden="1" customHeight="1" x14ac:dyDescent="0.3">
      <c r="A231" s="143" t="s">
        <v>419</v>
      </c>
      <c r="B231" s="15" t="s">
        <v>420</v>
      </c>
      <c r="C231" s="15" t="s">
        <v>50</v>
      </c>
      <c r="D231" s="72">
        <f>D232</f>
        <v>0</v>
      </c>
      <c r="E231" s="81"/>
    </row>
    <row r="232" spans="1:5" ht="37.5" hidden="1" x14ac:dyDescent="0.3">
      <c r="A232" s="143" t="s">
        <v>425</v>
      </c>
      <c r="B232" s="15" t="s">
        <v>420</v>
      </c>
      <c r="C232" s="14" t="s">
        <v>59</v>
      </c>
      <c r="D232" s="72">
        <f>'[2]В-21'!G586</f>
        <v>0</v>
      </c>
      <c r="E232" s="81"/>
    </row>
    <row r="233" spans="1:5" ht="18.75" hidden="1" x14ac:dyDescent="0.3">
      <c r="A233" s="244" t="s">
        <v>697</v>
      </c>
      <c r="B233" s="14" t="s">
        <v>811</v>
      </c>
      <c r="C233" s="14" t="s">
        <v>50</v>
      </c>
      <c r="D233" s="72">
        <f>D234</f>
        <v>0</v>
      </c>
      <c r="E233" s="81"/>
    </row>
    <row r="234" spans="1:5" ht="18.75" hidden="1" x14ac:dyDescent="0.3">
      <c r="A234" s="244" t="s">
        <v>556</v>
      </c>
      <c r="B234" s="14" t="s">
        <v>812</v>
      </c>
      <c r="C234" s="14" t="s">
        <v>50</v>
      </c>
      <c r="D234" s="72">
        <f>D235</f>
        <v>0</v>
      </c>
      <c r="E234" s="81"/>
    </row>
    <row r="235" spans="1:5" ht="18.75" hidden="1" x14ac:dyDescent="0.3">
      <c r="A235" s="143" t="s">
        <v>387</v>
      </c>
      <c r="B235" s="14" t="s">
        <v>854</v>
      </c>
      <c r="C235" s="14" t="s">
        <v>50</v>
      </c>
      <c r="D235" s="72">
        <f>D236</f>
        <v>0</v>
      </c>
      <c r="E235" s="81"/>
    </row>
    <row r="236" spans="1:5" ht="37.5" hidden="1" x14ac:dyDescent="0.3">
      <c r="A236" s="143" t="s">
        <v>264</v>
      </c>
      <c r="B236" s="14" t="s">
        <v>854</v>
      </c>
      <c r="C236" s="14" t="s">
        <v>261</v>
      </c>
      <c r="D236" s="72">
        <v>0</v>
      </c>
      <c r="E236" s="81"/>
    </row>
    <row r="237" spans="1:5" ht="18.75" hidden="1" x14ac:dyDescent="0.3">
      <c r="A237" s="143" t="s">
        <v>64</v>
      </c>
      <c r="B237" s="14" t="s">
        <v>777</v>
      </c>
      <c r="C237" s="14" t="s">
        <v>50</v>
      </c>
      <c r="D237" s="72">
        <f>D238</f>
        <v>0</v>
      </c>
      <c r="E237" s="81"/>
    </row>
    <row r="238" spans="1:5" ht="37.5" hidden="1" x14ac:dyDescent="0.3">
      <c r="A238" s="143" t="s">
        <v>425</v>
      </c>
      <c r="B238" s="14" t="s">
        <v>777</v>
      </c>
      <c r="C238" s="14" t="s">
        <v>59</v>
      </c>
      <c r="D238" s="72">
        <f>'В-25'!G285</f>
        <v>0</v>
      </c>
      <c r="E238" s="81"/>
    </row>
    <row r="239" spans="1:5" ht="41.25" customHeight="1" x14ac:dyDescent="0.3">
      <c r="A239" s="169" t="s">
        <v>158</v>
      </c>
      <c r="B239" s="21" t="s">
        <v>85</v>
      </c>
      <c r="C239" s="9" t="s">
        <v>50</v>
      </c>
      <c r="D239" s="196">
        <f>D240+D250+D266+D274+D286</f>
        <v>86457.1</v>
      </c>
      <c r="E239" s="81"/>
    </row>
    <row r="240" spans="1:5" ht="58.5" x14ac:dyDescent="0.35">
      <c r="A240" s="161" t="s">
        <v>814</v>
      </c>
      <c r="B240" s="63" t="s">
        <v>86</v>
      </c>
      <c r="C240" s="64" t="s">
        <v>50</v>
      </c>
      <c r="D240" s="197">
        <f>D241+D248</f>
        <v>22471.899999999998</v>
      </c>
      <c r="E240" s="81"/>
    </row>
    <row r="241" spans="1:5" ht="39" customHeight="1" x14ac:dyDescent="0.3">
      <c r="A241" s="143" t="s">
        <v>52</v>
      </c>
      <c r="B241" s="14" t="s">
        <v>305</v>
      </c>
      <c r="C241" s="14" t="s">
        <v>50</v>
      </c>
      <c r="D241" s="72">
        <f>D242+D244+D246</f>
        <v>18594.699999999997</v>
      </c>
      <c r="E241" s="81"/>
    </row>
    <row r="242" spans="1:5" ht="18.75" x14ac:dyDescent="0.3">
      <c r="A242" s="143" t="s">
        <v>304</v>
      </c>
      <c r="B242" s="14" t="s">
        <v>306</v>
      </c>
      <c r="C242" s="14" t="s">
        <v>50</v>
      </c>
      <c r="D242" s="72">
        <f>D243</f>
        <v>13579.699999999999</v>
      </c>
      <c r="E242" s="81"/>
    </row>
    <row r="243" spans="1:5" ht="37.5" x14ac:dyDescent="0.3">
      <c r="A243" s="143" t="s">
        <v>264</v>
      </c>
      <c r="B243" s="14" t="s">
        <v>306</v>
      </c>
      <c r="C243" s="14" t="s">
        <v>261</v>
      </c>
      <c r="D243" s="72">
        <f>'В-25'!G1289+'В-25'!G1460</f>
        <v>13579.699999999999</v>
      </c>
      <c r="E243" s="81"/>
    </row>
    <row r="244" spans="1:5" ht="29.25" hidden="1" customHeight="1" x14ac:dyDescent="0.3">
      <c r="A244" s="162" t="s">
        <v>374</v>
      </c>
      <c r="B244" s="14" t="s">
        <v>430</v>
      </c>
      <c r="C244" s="14" t="s">
        <v>50</v>
      </c>
      <c r="D244" s="72">
        <f>D245</f>
        <v>0</v>
      </c>
      <c r="E244" s="81"/>
    </row>
    <row r="245" spans="1:5" ht="37.5" hidden="1" x14ac:dyDescent="0.3">
      <c r="A245" s="143" t="s">
        <v>264</v>
      </c>
      <c r="B245" s="14" t="s">
        <v>430</v>
      </c>
      <c r="C245" s="14" t="s">
        <v>261</v>
      </c>
      <c r="D245" s="72">
        <v>0</v>
      </c>
      <c r="E245" s="81"/>
    </row>
    <row r="246" spans="1:5" ht="37.5" x14ac:dyDescent="0.3">
      <c r="A246" s="162" t="s">
        <v>374</v>
      </c>
      <c r="B246" s="14" t="s">
        <v>430</v>
      </c>
      <c r="C246" s="14" t="s">
        <v>50</v>
      </c>
      <c r="D246" s="72">
        <f>D247</f>
        <v>5015</v>
      </c>
      <c r="E246" s="81"/>
    </row>
    <row r="247" spans="1:5" ht="37.5" x14ac:dyDescent="0.3">
      <c r="A247" s="143" t="s">
        <v>264</v>
      </c>
      <c r="B247" s="14" t="s">
        <v>430</v>
      </c>
      <c r="C247" s="14" t="s">
        <v>261</v>
      </c>
      <c r="D247" s="72">
        <f>'В-25'!G1291</f>
        <v>5015</v>
      </c>
      <c r="E247" s="81"/>
    </row>
    <row r="248" spans="1:5" ht="56.25" x14ac:dyDescent="0.3">
      <c r="A248" s="276" t="s">
        <v>1149</v>
      </c>
      <c r="B248" s="113" t="s">
        <v>1174</v>
      </c>
      <c r="C248" s="14" t="s">
        <v>50</v>
      </c>
      <c r="D248" s="72">
        <f>D249</f>
        <v>3877.2000000000003</v>
      </c>
      <c r="E248" s="81"/>
    </row>
    <row r="249" spans="1:5" ht="37.5" x14ac:dyDescent="0.3">
      <c r="A249" s="143" t="s">
        <v>264</v>
      </c>
      <c r="B249" s="113" t="s">
        <v>1174</v>
      </c>
      <c r="C249" s="14" t="s">
        <v>261</v>
      </c>
      <c r="D249" s="72">
        <f>'В-25'!G1294</f>
        <v>3877.2000000000003</v>
      </c>
      <c r="E249" s="81"/>
    </row>
    <row r="250" spans="1:5" ht="45" customHeight="1" x14ac:dyDescent="0.35">
      <c r="A250" s="161" t="s">
        <v>143</v>
      </c>
      <c r="B250" s="63" t="s">
        <v>87</v>
      </c>
      <c r="C250" s="64" t="s">
        <v>50</v>
      </c>
      <c r="D250" s="197">
        <f>D251+D261</f>
        <v>17346.400000000001</v>
      </c>
      <c r="E250" s="81"/>
    </row>
    <row r="251" spans="1:5" ht="42" customHeight="1" x14ac:dyDescent="0.3">
      <c r="A251" s="143" t="s">
        <v>52</v>
      </c>
      <c r="B251" s="14" t="s">
        <v>196</v>
      </c>
      <c r="C251" s="14" t="s">
        <v>50</v>
      </c>
      <c r="D251" s="72">
        <f>D252+D257+D259</f>
        <v>17257.900000000001</v>
      </c>
      <c r="E251" s="81"/>
    </row>
    <row r="252" spans="1:5" ht="18.75" x14ac:dyDescent="0.3">
      <c r="A252" s="143" t="s">
        <v>195</v>
      </c>
      <c r="B252" s="14" t="s">
        <v>197</v>
      </c>
      <c r="C252" s="14" t="s">
        <v>50</v>
      </c>
      <c r="D252" s="72">
        <f>D253+D254+D256+D255</f>
        <v>12657.9</v>
      </c>
      <c r="E252" s="81"/>
    </row>
    <row r="253" spans="1:5" ht="75" x14ac:dyDescent="0.3">
      <c r="A253" s="143" t="s">
        <v>56</v>
      </c>
      <c r="B253" s="14" t="s">
        <v>197</v>
      </c>
      <c r="C253" s="14" t="s">
        <v>57</v>
      </c>
      <c r="D253" s="72">
        <f>'В-25'!G448</f>
        <v>10777.5</v>
      </c>
      <c r="E253" s="81">
        <f>D253+D254+D256+D263</f>
        <v>12746.4</v>
      </c>
    </row>
    <row r="254" spans="1:5" ht="37.5" x14ac:dyDescent="0.3">
      <c r="A254" s="143" t="s">
        <v>425</v>
      </c>
      <c r="B254" s="14" t="s">
        <v>197</v>
      </c>
      <c r="C254" s="14" t="s">
        <v>59</v>
      </c>
      <c r="D254" s="72">
        <f>'В-25'!G449</f>
        <v>1873.1</v>
      </c>
      <c r="E254" s="81"/>
    </row>
    <row r="255" spans="1:5" ht="18.75" hidden="1" x14ac:dyDescent="0.3">
      <c r="A255" s="143" t="s">
        <v>175</v>
      </c>
      <c r="B255" s="14" t="s">
        <v>197</v>
      </c>
      <c r="C255" s="14" t="s">
        <v>176</v>
      </c>
      <c r="D255" s="72">
        <f>'В-25'!G450</f>
        <v>0</v>
      </c>
      <c r="E255" s="81"/>
    </row>
    <row r="256" spans="1:5" ht="18.75" x14ac:dyDescent="0.3">
      <c r="A256" s="143" t="s">
        <v>60</v>
      </c>
      <c r="B256" s="14" t="s">
        <v>197</v>
      </c>
      <c r="C256" s="14" t="s">
        <v>61</v>
      </c>
      <c r="D256" s="72">
        <f>'В-25'!G451</f>
        <v>7.3</v>
      </c>
      <c r="E256" s="81"/>
    </row>
    <row r="257" spans="1:5" ht="29.25" customHeight="1" x14ac:dyDescent="0.3">
      <c r="A257" s="162" t="s">
        <v>374</v>
      </c>
      <c r="B257" s="14" t="s">
        <v>426</v>
      </c>
      <c r="C257" s="14" t="s">
        <v>50</v>
      </c>
      <c r="D257" s="72">
        <f>D258</f>
        <v>4600</v>
      </c>
      <c r="E257" s="81"/>
    </row>
    <row r="258" spans="1:5" ht="75" x14ac:dyDescent="0.3">
      <c r="A258" s="143" t="s">
        <v>56</v>
      </c>
      <c r="B258" s="14" t="s">
        <v>426</v>
      </c>
      <c r="C258" s="14" t="s">
        <v>57</v>
      </c>
      <c r="D258" s="72">
        <f>'В-25'!G453</f>
        <v>4600</v>
      </c>
      <c r="E258" s="81"/>
    </row>
    <row r="259" spans="1:5" ht="37.5" hidden="1" x14ac:dyDescent="0.3">
      <c r="A259" s="162" t="s">
        <v>378</v>
      </c>
      <c r="B259" s="14" t="s">
        <v>427</v>
      </c>
      <c r="C259" s="14" t="s">
        <v>50</v>
      </c>
      <c r="D259" s="72">
        <f>D260</f>
        <v>0</v>
      </c>
      <c r="E259" s="81"/>
    </row>
    <row r="260" spans="1:5" ht="75" hidden="1" x14ac:dyDescent="0.3">
      <c r="A260" s="143" t="s">
        <v>56</v>
      </c>
      <c r="B260" s="14" t="s">
        <v>427</v>
      </c>
      <c r="C260" s="14" t="s">
        <v>57</v>
      </c>
      <c r="D260" s="72">
        <f>'[2]В-21'!G294</f>
        <v>0</v>
      </c>
      <c r="E260" s="81"/>
    </row>
    <row r="261" spans="1:5" ht="18.75" x14ac:dyDescent="0.3">
      <c r="A261" s="143" t="s">
        <v>62</v>
      </c>
      <c r="B261" s="14" t="s">
        <v>198</v>
      </c>
      <c r="C261" s="14" t="s">
        <v>50</v>
      </c>
      <c r="D261" s="72">
        <f>D262+D264</f>
        <v>88.5</v>
      </c>
      <c r="E261" s="81"/>
    </row>
    <row r="262" spans="1:5" ht="18.75" x14ac:dyDescent="0.3">
      <c r="A262" s="143" t="s">
        <v>75</v>
      </c>
      <c r="B262" s="14" t="s">
        <v>199</v>
      </c>
      <c r="C262" s="14" t="s">
        <v>50</v>
      </c>
      <c r="D262" s="72">
        <f>D263</f>
        <v>88.5</v>
      </c>
      <c r="E262" s="81"/>
    </row>
    <row r="263" spans="1:5" ht="37.5" x14ac:dyDescent="0.3">
      <c r="A263" s="143" t="s">
        <v>425</v>
      </c>
      <c r="B263" s="14" t="s">
        <v>199</v>
      </c>
      <c r="C263" s="14" t="s">
        <v>59</v>
      </c>
      <c r="D263" s="72">
        <f>'В-25'!G458</f>
        <v>88.5</v>
      </c>
      <c r="E263" s="81"/>
    </row>
    <row r="264" spans="1:5" ht="18.75" hidden="1" outlineLevel="1" x14ac:dyDescent="0.3">
      <c r="A264" s="143" t="s">
        <v>64</v>
      </c>
      <c r="B264" s="14" t="s">
        <v>200</v>
      </c>
      <c r="C264" s="14" t="s">
        <v>50</v>
      </c>
      <c r="D264" s="72">
        <f>D265</f>
        <v>0</v>
      </c>
      <c r="E264" s="81"/>
    </row>
    <row r="265" spans="1:5" ht="18.75" hidden="1" outlineLevel="1" x14ac:dyDescent="0.3">
      <c r="A265" s="143" t="s">
        <v>58</v>
      </c>
      <c r="B265" s="14" t="s">
        <v>200</v>
      </c>
      <c r="C265" s="14" t="s">
        <v>59</v>
      </c>
      <c r="D265" s="72">
        <f>'[2]В-21'!G299</f>
        <v>0</v>
      </c>
      <c r="E265" s="81"/>
    </row>
    <row r="266" spans="1:5" ht="39" collapsed="1" x14ac:dyDescent="0.35">
      <c r="A266" s="161" t="s">
        <v>144</v>
      </c>
      <c r="B266" s="63" t="s">
        <v>88</v>
      </c>
      <c r="C266" s="64" t="s">
        <v>50</v>
      </c>
      <c r="D266" s="197">
        <f>D267</f>
        <v>37294</v>
      </c>
      <c r="E266" s="81"/>
    </row>
    <row r="267" spans="1:5" ht="37.5" x14ac:dyDescent="0.3">
      <c r="A267" s="143" t="s">
        <v>52</v>
      </c>
      <c r="B267" s="14" t="s">
        <v>308</v>
      </c>
      <c r="C267" s="14" t="s">
        <v>50</v>
      </c>
      <c r="D267" s="72">
        <f>D268+D270++D272</f>
        <v>37294</v>
      </c>
      <c r="E267" s="81"/>
    </row>
    <row r="268" spans="1:5" ht="18.75" x14ac:dyDescent="0.3">
      <c r="A268" s="143" t="s">
        <v>307</v>
      </c>
      <c r="B268" s="14" t="s">
        <v>309</v>
      </c>
      <c r="C268" s="14" t="s">
        <v>50</v>
      </c>
      <c r="D268" s="72">
        <f>D269</f>
        <v>27393.999999999996</v>
      </c>
      <c r="E268" s="81"/>
    </row>
    <row r="269" spans="1:5" ht="37.5" x14ac:dyDescent="0.3">
      <c r="A269" s="143" t="s">
        <v>264</v>
      </c>
      <c r="B269" s="14" t="s">
        <v>309</v>
      </c>
      <c r="C269" s="14" t="s">
        <v>261</v>
      </c>
      <c r="D269" s="72">
        <f>'В-25'!G1297</f>
        <v>27393.999999999996</v>
      </c>
      <c r="E269" s="81"/>
    </row>
    <row r="270" spans="1:5" ht="37.5" x14ac:dyDescent="0.3">
      <c r="A270" s="162" t="s">
        <v>374</v>
      </c>
      <c r="B270" s="14" t="s">
        <v>375</v>
      </c>
      <c r="C270" s="14" t="s">
        <v>50</v>
      </c>
      <c r="D270" s="72">
        <f>D271</f>
        <v>9900</v>
      </c>
      <c r="E270" s="81"/>
    </row>
    <row r="271" spans="1:5" ht="37.5" x14ac:dyDescent="0.3">
      <c r="A271" s="143" t="s">
        <v>264</v>
      </c>
      <c r="B271" s="14" t="s">
        <v>375</v>
      </c>
      <c r="C271" s="14" t="s">
        <v>261</v>
      </c>
      <c r="D271" s="72">
        <f>'В-25'!G1299</f>
        <v>9900</v>
      </c>
      <c r="E271" s="81"/>
    </row>
    <row r="272" spans="1:5" ht="37.5" hidden="1" x14ac:dyDescent="0.3">
      <c r="A272" s="162" t="s">
        <v>378</v>
      </c>
      <c r="B272" s="14" t="s">
        <v>432</v>
      </c>
      <c r="C272" s="14" t="s">
        <v>50</v>
      </c>
      <c r="D272" s="72">
        <f>D273</f>
        <v>0</v>
      </c>
      <c r="E272" s="81"/>
    </row>
    <row r="273" spans="1:5" ht="37.5" hidden="1" x14ac:dyDescent="0.3">
      <c r="A273" s="143" t="s">
        <v>264</v>
      </c>
      <c r="B273" s="14" t="s">
        <v>432</v>
      </c>
      <c r="C273" s="14" t="s">
        <v>261</v>
      </c>
      <c r="D273" s="72">
        <v>0</v>
      </c>
      <c r="E273" s="81"/>
    </row>
    <row r="274" spans="1:5" ht="39" x14ac:dyDescent="0.35">
      <c r="A274" s="167" t="s">
        <v>145</v>
      </c>
      <c r="B274" s="63" t="s">
        <v>89</v>
      </c>
      <c r="C274" s="64" t="s">
        <v>50</v>
      </c>
      <c r="D274" s="197">
        <f>D275+D283</f>
        <v>6808.5999999999995</v>
      </c>
      <c r="E274" s="81"/>
    </row>
    <row r="275" spans="1:5" ht="37.5" x14ac:dyDescent="0.3">
      <c r="A275" s="143" t="s">
        <v>52</v>
      </c>
      <c r="B275" s="14" t="s">
        <v>216</v>
      </c>
      <c r="C275" s="14" t="s">
        <v>50</v>
      </c>
      <c r="D275" s="72">
        <f>D276+D279+D281</f>
        <v>5894.9</v>
      </c>
      <c r="E275" s="81"/>
    </row>
    <row r="276" spans="1:5" ht="18.75" x14ac:dyDescent="0.3">
      <c r="A276" s="143" t="s">
        <v>215</v>
      </c>
      <c r="B276" s="14" t="s">
        <v>217</v>
      </c>
      <c r="C276" s="14" t="s">
        <v>50</v>
      </c>
      <c r="D276" s="72">
        <f>D277+D278</f>
        <v>5894.9</v>
      </c>
      <c r="E276" s="81"/>
    </row>
    <row r="277" spans="1:5" ht="75" x14ac:dyDescent="0.3">
      <c r="A277" s="143" t="s">
        <v>56</v>
      </c>
      <c r="B277" s="14" t="s">
        <v>217</v>
      </c>
      <c r="C277" s="14" t="s">
        <v>57</v>
      </c>
      <c r="D277" s="72">
        <f>'В-25'!G1306</f>
        <v>5292.2</v>
      </c>
      <c r="E277" s="81"/>
    </row>
    <row r="278" spans="1:5" ht="37.5" x14ac:dyDescent="0.3">
      <c r="A278" s="143" t="s">
        <v>425</v>
      </c>
      <c r="B278" s="14" t="s">
        <v>217</v>
      </c>
      <c r="C278" s="14" t="s">
        <v>59</v>
      </c>
      <c r="D278" s="72">
        <f>'В-25'!G1307</f>
        <v>602.70000000000005</v>
      </c>
      <c r="E278" s="81"/>
    </row>
    <row r="279" spans="1:5" ht="39.75" hidden="1" customHeight="1" x14ac:dyDescent="0.3">
      <c r="A279" s="162" t="s">
        <v>374</v>
      </c>
      <c r="B279" s="14" t="s">
        <v>428</v>
      </c>
      <c r="C279" s="14" t="s">
        <v>50</v>
      </c>
      <c r="D279" s="72">
        <f>D280</f>
        <v>0</v>
      </c>
      <c r="E279" s="81"/>
    </row>
    <row r="280" spans="1:5" ht="75" hidden="1" x14ac:dyDescent="0.3">
      <c r="A280" s="143" t="s">
        <v>56</v>
      </c>
      <c r="B280" s="14" t="s">
        <v>428</v>
      </c>
      <c r="C280" s="14" t="s">
        <v>57</v>
      </c>
      <c r="D280" s="72">
        <f>'В-25'!G557</f>
        <v>0</v>
      </c>
      <c r="E280" s="81">
        <f>D280+D285</f>
        <v>913.7</v>
      </c>
    </row>
    <row r="281" spans="1:5" ht="37.5" hidden="1" x14ac:dyDescent="0.3">
      <c r="A281" s="162" t="s">
        <v>378</v>
      </c>
      <c r="B281" s="14" t="s">
        <v>429</v>
      </c>
      <c r="C281" s="14" t="s">
        <v>50</v>
      </c>
      <c r="D281" s="72">
        <f>D282</f>
        <v>0</v>
      </c>
      <c r="E281" s="81"/>
    </row>
    <row r="282" spans="1:5" ht="75" hidden="1" x14ac:dyDescent="0.3">
      <c r="A282" s="143" t="s">
        <v>56</v>
      </c>
      <c r="B282" s="14" t="s">
        <v>429</v>
      </c>
      <c r="C282" s="14" t="s">
        <v>57</v>
      </c>
      <c r="D282" s="72">
        <f>'[2]В-21'!G375</f>
        <v>0</v>
      </c>
      <c r="E282" s="81"/>
    </row>
    <row r="283" spans="1:5" ht="56.25" hidden="1" x14ac:dyDescent="0.3">
      <c r="A283" s="143" t="s">
        <v>173</v>
      </c>
      <c r="B283" s="14" t="s">
        <v>842</v>
      </c>
      <c r="C283" s="14" t="s">
        <v>50</v>
      </c>
      <c r="D283" s="72">
        <f>D284</f>
        <v>913.7</v>
      </c>
      <c r="E283" s="81"/>
    </row>
    <row r="284" spans="1:5" ht="68.25" customHeight="1" x14ac:dyDescent="0.3">
      <c r="A284" s="170" t="s">
        <v>533</v>
      </c>
      <c r="B284" s="113" t="s">
        <v>1158</v>
      </c>
      <c r="C284" s="14" t="s">
        <v>50</v>
      </c>
      <c r="D284" s="72">
        <f>D285</f>
        <v>913.7</v>
      </c>
      <c r="E284" s="81"/>
    </row>
    <row r="285" spans="1:5" ht="37.5" x14ac:dyDescent="0.3">
      <c r="A285" s="143" t="s">
        <v>425</v>
      </c>
      <c r="B285" s="113" t="s">
        <v>1158</v>
      </c>
      <c r="C285" s="14" t="s">
        <v>59</v>
      </c>
      <c r="D285" s="72">
        <f>'В-25'!G1310</f>
        <v>913.7</v>
      </c>
      <c r="E285" s="81"/>
    </row>
    <row r="286" spans="1:5" ht="19.5" x14ac:dyDescent="0.35">
      <c r="A286" s="171" t="s">
        <v>409</v>
      </c>
      <c r="B286" s="63" t="s">
        <v>90</v>
      </c>
      <c r="C286" s="64" t="s">
        <v>50</v>
      </c>
      <c r="D286" s="197">
        <f>D291+D287+D312+D325+D289+D321+D327+D319+D334+D336+D338+D342+D323+D344</f>
        <v>2536.1999999999998</v>
      </c>
      <c r="E286" s="81"/>
    </row>
    <row r="287" spans="1:5" ht="19.5" hidden="1" x14ac:dyDescent="0.35">
      <c r="A287" s="172" t="s">
        <v>555</v>
      </c>
      <c r="B287" s="14" t="s">
        <v>541</v>
      </c>
      <c r="C287" s="14" t="s">
        <v>50</v>
      </c>
      <c r="D287" s="197">
        <f>D288</f>
        <v>0</v>
      </c>
      <c r="E287" s="81"/>
    </row>
    <row r="288" spans="1:5" ht="37.5" hidden="1" x14ac:dyDescent="0.3">
      <c r="A288" s="143" t="s">
        <v>264</v>
      </c>
      <c r="B288" s="14" t="s">
        <v>541</v>
      </c>
      <c r="C288" s="14" t="s">
        <v>261</v>
      </c>
      <c r="D288" s="72">
        <f>'В-25'!G1201</f>
        <v>0</v>
      </c>
      <c r="E288" s="81"/>
    </row>
    <row r="289" spans="1:5" ht="18.75" hidden="1" x14ac:dyDescent="0.3">
      <c r="A289" s="143" t="s">
        <v>689</v>
      </c>
      <c r="B289" s="14" t="s">
        <v>776</v>
      </c>
      <c r="C289" s="14" t="s">
        <v>50</v>
      </c>
      <c r="D289" s="72">
        <f>D290</f>
        <v>0</v>
      </c>
      <c r="E289" s="81"/>
    </row>
    <row r="290" spans="1:5" ht="37.5" hidden="1" x14ac:dyDescent="0.3">
      <c r="A290" s="143" t="s">
        <v>425</v>
      </c>
      <c r="B290" s="14" t="s">
        <v>776</v>
      </c>
      <c r="C290" s="14" t="s">
        <v>59</v>
      </c>
      <c r="D290" s="72">
        <f>'В-25'!G474</f>
        <v>0</v>
      </c>
      <c r="E290" s="81"/>
    </row>
    <row r="291" spans="1:5" ht="18.75" x14ac:dyDescent="0.3">
      <c r="A291" s="143" t="s">
        <v>62</v>
      </c>
      <c r="B291" s="14" t="s">
        <v>310</v>
      </c>
      <c r="C291" s="14" t="s">
        <v>50</v>
      </c>
      <c r="D291" s="72">
        <f>D292+D295+D298+D308+D302+D305+D314+D317</f>
        <v>1868.3</v>
      </c>
      <c r="E291" s="81"/>
    </row>
    <row r="292" spans="1:5" ht="18.75" x14ac:dyDescent="0.3">
      <c r="A292" s="143" t="s">
        <v>311</v>
      </c>
      <c r="B292" s="14" t="s">
        <v>312</v>
      </c>
      <c r="C292" s="14" t="s">
        <v>50</v>
      </c>
      <c r="D292" s="72">
        <f>D294+D293</f>
        <v>1724</v>
      </c>
      <c r="E292" s="81"/>
    </row>
    <row r="293" spans="1:5" ht="37.5" hidden="1" x14ac:dyDescent="0.3">
      <c r="A293" s="143" t="s">
        <v>425</v>
      </c>
      <c r="B293" s="14" t="s">
        <v>312</v>
      </c>
      <c r="C293" s="14" t="s">
        <v>59</v>
      </c>
      <c r="D293" s="72">
        <f>'В-25'!G1313</f>
        <v>0</v>
      </c>
      <c r="E293" s="81"/>
    </row>
    <row r="294" spans="1:5" ht="37.5" x14ac:dyDescent="0.3">
      <c r="A294" s="143" t="s">
        <v>264</v>
      </c>
      <c r="B294" s="14" t="s">
        <v>312</v>
      </c>
      <c r="C294" s="14" t="s">
        <v>261</v>
      </c>
      <c r="D294" s="72">
        <f>'В-25'!G1314</f>
        <v>1724</v>
      </c>
      <c r="E294" s="81"/>
    </row>
    <row r="295" spans="1:5" ht="56.25" x14ac:dyDescent="0.3">
      <c r="A295" s="143" t="s">
        <v>313</v>
      </c>
      <c r="B295" s="14" t="s">
        <v>314</v>
      </c>
      <c r="C295" s="14" t="s">
        <v>50</v>
      </c>
      <c r="D295" s="72">
        <f>D296+D297</f>
        <v>144.30000000000001</v>
      </c>
      <c r="E295" s="81"/>
    </row>
    <row r="296" spans="1:5" ht="37.5" x14ac:dyDescent="0.3">
      <c r="A296" s="143" t="s">
        <v>264</v>
      </c>
      <c r="B296" s="14" t="s">
        <v>314</v>
      </c>
      <c r="C296" s="14" t="s">
        <v>261</v>
      </c>
      <c r="D296" s="72">
        <f>'В-25'!G1316</f>
        <v>144.30000000000001</v>
      </c>
      <c r="E296" s="81"/>
    </row>
    <row r="297" spans="1:5" ht="37.5" hidden="1" x14ac:dyDescent="0.3">
      <c r="A297" s="143" t="s">
        <v>264</v>
      </c>
      <c r="B297" s="14" t="s">
        <v>314</v>
      </c>
      <c r="C297" s="14" t="s">
        <v>261</v>
      </c>
      <c r="D297" s="72">
        <f>'В-25'!G1342</f>
        <v>0</v>
      </c>
      <c r="E297" s="81"/>
    </row>
    <row r="298" spans="1:5" ht="18.75" hidden="1" x14ac:dyDescent="0.3">
      <c r="A298" s="163" t="s">
        <v>385</v>
      </c>
      <c r="B298" s="44" t="s">
        <v>386</v>
      </c>
      <c r="C298" s="44" t="s">
        <v>50</v>
      </c>
      <c r="D298" s="72">
        <f>D299</f>
        <v>0</v>
      </c>
      <c r="E298" s="81"/>
    </row>
    <row r="299" spans="1:5" ht="37.5" hidden="1" x14ac:dyDescent="0.3">
      <c r="A299" s="143" t="s">
        <v>425</v>
      </c>
      <c r="B299" s="44" t="s">
        <v>386</v>
      </c>
      <c r="C299" s="44" t="s">
        <v>59</v>
      </c>
      <c r="D299" s="72">
        <f>'В-25'!G464</f>
        <v>0</v>
      </c>
      <c r="E299" s="81"/>
    </row>
    <row r="300" spans="1:5" ht="56.25" hidden="1" outlineLevel="1" x14ac:dyDescent="0.3">
      <c r="A300" s="143" t="s">
        <v>405</v>
      </c>
      <c r="B300" s="14" t="s">
        <v>406</v>
      </c>
      <c r="C300" s="14" t="s">
        <v>50</v>
      </c>
      <c r="D300" s="72">
        <v>0</v>
      </c>
      <c r="E300" s="81"/>
    </row>
    <row r="301" spans="1:5" ht="37.5" hidden="1" outlineLevel="1" x14ac:dyDescent="0.3">
      <c r="A301" s="143" t="s">
        <v>264</v>
      </c>
      <c r="B301" s="14" t="s">
        <v>406</v>
      </c>
      <c r="C301" s="14" t="s">
        <v>261</v>
      </c>
      <c r="D301" s="72">
        <v>0</v>
      </c>
      <c r="E301" s="81"/>
    </row>
    <row r="302" spans="1:5" ht="18.75" hidden="1" x14ac:dyDescent="0.3">
      <c r="A302" s="163" t="s">
        <v>435</v>
      </c>
      <c r="B302" s="44" t="s">
        <v>436</v>
      </c>
      <c r="C302" s="44" t="s">
        <v>50</v>
      </c>
      <c r="D302" s="72">
        <f>D303+D304</f>
        <v>0</v>
      </c>
      <c r="E302" s="81"/>
    </row>
    <row r="303" spans="1:5" ht="75" hidden="1" x14ac:dyDescent="0.3">
      <c r="A303" s="163" t="s">
        <v>56</v>
      </c>
      <c r="B303" s="44" t="s">
        <v>436</v>
      </c>
      <c r="C303" s="44" t="s">
        <v>57</v>
      </c>
      <c r="D303" s="72">
        <f>'[2]В-21'!G305</f>
        <v>0</v>
      </c>
      <c r="E303" s="81"/>
    </row>
    <row r="304" spans="1:5" ht="39.75" hidden="1" customHeight="1" x14ac:dyDescent="0.3">
      <c r="A304" s="143" t="s">
        <v>425</v>
      </c>
      <c r="B304" s="44" t="s">
        <v>436</v>
      </c>
      <c r="C304" s="44" t="s">
        <v>59</v>
      </c>
      <c r="D304" s="72">
        <f>'[2]В-21'!G306</f>
        <v>0</v>
      </c>
      <c r="E304" s="81"/>
    </row>
    <row r="305" spans="1:5" ht="39.75" hidden="1" customHeight="1" x14ac:dyDescent="0.3">
      <c r="A305" s="143" t="s">
        <v>484</v>
      </c>
      <c r="B305" s="44" t="s">
        <v>485</v>
      </c>
      <c r="C305" s="44" t="s">
        <v>50</v>
      </c>
      <c r="D305" s="72">
        <f>D306+D307</f>
        <v>0</v>
      </c>
      <c r="E305" s="81"/>
    </row>
    <row r="306" spans="1:5" ht="78" hidden="1" customHeight="1" x14ac:dyDescent="0.3">
      <c r="A306" s="143" t="s">
        <v>56</v>
      </c>
      <c r="B306" s="44" t="s">
        <v>485</v>
      </c>
      <c r="C306" s="44" t="s">
        <v>57</v>
      </c>
      <c r="D306" s="72">
        <f>'[2]В-21'!G308</f>
        <v>0</v>
      </c>
      <c r="E306" s="81"/>
    </row>
    <row r="307" spans="1:5" ht="39.75" hidden="1" customHeight="1" x14ac:dyDescent="0.3">
      <c r="A307" s="143" t="s">
        <v>425</v>
      </c>
      <c r="B307" s="44" t="s">
        <v>485</v>
      </c>
      <c r="C307" s="44" t="s">
        <v>59</v>
      </c>
      <c r="D307" s="72">
        <f>'[2]В-21'!G309</f>
        <v>0</v>
      </c>
      <c r="E307" s="81"/>
    </row>
    <row r="308" spans="1:5" ht="18.75" hidden="1" customHeight="1" x14ac:dyDescent="0.3">
      <c r="A308" s="143" t="s">
        <v>387</v>
      </c>
      <c r="B308" s="14" t="s">
        <v>416</v>
      </c>
      <c r="C308" s="14" t="s">
        <v>50</v>
      </c>
      <c r="D308" s="72">
        <f>D309</f>
        <v>0</v>
      </c>
      <c r="E308" s="81"/>
    </row>
    <row r="309" spans="1:5" ht="37.5" hidden="1" customHeight="1" x14ac:dyDescent="0.3">
      <c r="A309" s="143" t="s">
        <v>425</v>
      </c>
      <c r="B309" s="14" t="s">
        <v>416</v>
      </c>
      <c r="C309" s="14" t="s">
        <v>59</v>
      </c>
      <c r="D309" s="72">
        <f>'[2]В-21'!G311</f>
        <v>0</v>
      </c>
      <c r="E309" s="81"/>
    </row>
    <row r="310" spans="1:5" ht="18.75" hidden="1" customHeight="1" x14ac:dyDescent="0.3">
      <c r="A310" s="143" t="s">
        <v>497</v>
      </c>
      <c r="B310" s="15" t="s">
        <v>498</v>
      </c>
      <c r="C310" s="14" t="s">
        <v>50</v>
      </c>
      <c r="D310" s="72">
        <f>D311</f>
        <v>0</v>
      </c>
      <c r="E310" s="81"/>
    </row>
    <row r="311" spans="1:5" ht="37.5" hidden="1" customHeight="1" x14ac:dyDescent="0.3">
      <c r="A311" s="143" t="s">
        <v>425</v>
      </c>
      <c r="B311" s="15" t="s">
        <v>498</v>
      </c>
      <c r="C311" s="14" t="s">
        <v>59</v>
      </c>
      <c r="D311" s="72">
        <f>'[2]В-21'!G746</f>
        <v>0</v>
      </c>
      <c r="E311" s="81"/>
    </row>
    <row r="312" spans="1:5" ht="30" hidden="1" customHeight="1" x14ac:dyDescent="0.3">
      <c r="A312" s="172" t="s">
        <v>555</v>
      </c>
      <c r="B312" s="14" t="s">
        <v>554</v>
      </c>
      <c r="C312" s="14" t="s">
        <v>50</v>
      </c>
      <c r="D312" s="72">
        <f>D313</f>
        <v>0</v>
      </c>
      <c r="E312" s="81"/>
    </row>
    <row r="313" spans="1:5" ht="37.5" hidden="1" customHeight="1" x14ac:dyDescent="0.3">
      <c r="A313" s="143" t="s">
        <v>264</v>
      </c>
      <c r="B313" s="14" t="s">
        <v>554</v>
      </c>
      <c r="C313" s="14" t="s">
        <v>261</v>
      </c>
      <c r="D313" s="72">
        <f>'В-25'!G1204</f>
        <v>0</v>
      </c>
      <c r="E313" s="81"/>
    </row>
    <row r="314" spans="1:5" ht="37.5" hidden="1" customHeight="1" x14ac:dyDescent="0.3">
      <c r="A314" s="143" t="s">
        <v>484</v>
      </c>
      <c r="B314" s="44" t="s">
        <v>485</v>
      </c>
      <c r="C314" s="14" t="s">
        <v>50</v>
      </c>
      <c r="D314" s="72">
        <f>D315+D316</f>
        <v>0</v>
      </c>
      <c r="E314" s="81"/>
    </row>
    <row r="315" spans="1:5" ht="37.5" hidden="1" customHeight="1" x14ac:dyDescent="0.3">
      <c r="A315" s="143" t="s">
        <v>56</v>
      </c>
      <c r="B315" s="44" t="s">
        <v>485</v>
      </c>
      <c r="C315" s="14" t="s">
        <v>57</v>
      </c>
      <c r="D315" s="72">
        <f>'В-25'!G469</f>
        <v>0</v>
      </c>
      <c r="E315" s="81"/>
    </row>
    <row r="316" spans="1:5" ht="37.5" hidden="1" customHeight="1" x14ac:dyDescent="0.3">
      <c r="A316" s="143" t="s">
        <v>425</v>
      </c>
      <c r="B316" s="44" t="s">
        <v>485</v>
      </c>
      <c r="C316" s="14" t="s">
        <v>59</v>
      </c>
      <c r="D316" s="72">
        <f>'В-25'!G470</f>
        <v>0</v>
      </c>
      <c r="E316" s="81"/>
    </row>
    <row r="317" spans="1:5" ht="37.5" hidden="1" customHeight="1" x14ac:dyDescent="0.3">
      <c r="A317" s="163" t="s">
        <v>352</v>
      </c>
      <c r="B317" s="31" t="s">
        <v>750</v>
      </c>
      <c r="C317" s="31" t="s">
        <v>50</v>
      </c>
      <c r="D317" s="72">
        <f>D318</f>
        <v>0</v>
      </c>
      <c r="E317" s="81"/>
    </row>
    <row r="318" spans="1:5" ht="37.5" hidden="1" customHeight="1" x14ac:dyDescent="0.3">
      <c r="A318" s="143" t="s">
        <v>425</v>
      </c>
      <c r="B318" s="31" t="s">
        <v>750</v>
      </c>
      <c r="C318" s="31" t="s">
        <v>59</v>
      </c>
      <c r="D318" s="72">
        <f>'В-25'!G992</f>
        <v>0</v>
      </c>
      <c r="E318" s="81"/>
    </row>
    <row r="319" spans="1:5" ht="37.5" hidden="1" customHeight="1" x14ac:dyDescent="0.3">
      <c r="A319" s="143" t="s">
        <v>211</v>
      </c>
      <c r="B319" s="15" t="s">
        <v>498</v>
      </c>
      <c r="C319" s="15" t="s">
        <v>50</v>
      </c>
      <c r="D319" s="72">
        <f>D320</f>
        <v>0</v>
      </c>
      <c r="E319" s="81"/>
    </row>
    <row r="320" spans="1:5" ht="37.5" hidden="1" customHeight="1" x14ac:dyDescent="0.3">
      <c r="A320" s="143" t="s">
        <v>425</v>
      </c>
      <c r="B320" s="15" t="s">
        <v>498</v>
      </c>
      <c r="C320" s="15" t="s">
        <v>59</v>
      </c>
      <c r="D320" s="72">
        <f>'В-25'!G1384</f>
        <v>0</v>
      </c>
      <c r="E320" s="81"/>
    </row>
    <row r="321" spans="1:5" ht="37.5" hidden="1" customHeight="1" x14ac:dyDescent="0.3">
      <c r="A321" s="143" t="s">
        <v>682</v>
      </c>
      <c r="B321" s="31" t="s">
        <v>681</v>
      </c>
      <c r="C321" s="31" t="s">
        <v>50</v>
      </c>
      <c r="D321" s="72">
        <f>D322</f>
        <v>0</v>
      </c>
      <c r="E321" s="81"/>
    </row>
    <row r="322" spans="1:5" ht="37.5" hidden="1" customHeight="1" x14ac:dyDescent="0.3">
      <c r="A322" s="143" t="s">
        <v>425</v>
      </c>
      <c r="B322" s="31" t="s">
        <v>681</v>
      </c>
      <c r="C322" s="31" t="s">
        <v>59</v>
      </c>
      <c r="D322" s="72">
        <f>'В-25'!G989</f>
        <v>0</v>
      </c>
      <c r="E322" s="81"/>
    </row>
    <row r="323" spans="1:5" ht="37.5" hidden="1" customHeight="1" x14ac:dyDescent="0.3">
      <c r="A323" s="232" t="s">
        <v>961</v>
      </c>
      <c r="B323" s="14" t="s">
        <v>962</v>
      </c>
      <c r="C323" s="14" t="s">
        <v>50</v>
      </c>
      <c r="D323" s="72">
        <f>D324</f>
        <v>0</v>
      </c>
      <c r="E323" s="81"/>
    </row>
    <row r="324" spans="1:5" ht="37.5" hidden="1" customHeight="1" x14ac:dyDescent="0.3">
      <c r="A324" s="143" t="s">
        <v>264</v>
      </c>
      <c r="B324" s="14" t="s">
        <v>962</v>
      </c>
      <c r="C324" s="14" t="s">
        <v>261</v>
      </c>
      <c r="D324" s="72">
        <f>'В-25'!G1417</f>
        <v>0</v>
      </c>
      <c r="E324" s="81"/>
    </row>
    <row r="325" spans="1:5" ht="27.75" customHeight="1" x14ac:dyDescent="0.3">
      <c r="A325" s="143" t="s">
        <v>387</v>
      </c>
      <c r="B325" s="113" t="s">
        <v>1171</v>
      </c>
      <c r="C325" s="14" t="s">
        <v>50</v>
      </c>
      <c r="D325" s="72">
        <f>D326</f>
        <v>126.8</v>
      </c>
      <c r="E325" s="81"/>
    </row>
    <row r="326" spans="1:5" ht="37.5" customHeight="1" x14ac:dyDescent="0.3">
      <c r="A326" s="143" t="s">
        <v>425</v>
      </c>
      <c r="B326" s="113" t="s">
        <v>1171</v>
      </c>
      <c r="C326" s="14" t="s">
        <v>59</v>
      </c>
      <c r="D326" s="72">
        <f>'В-25'!G472</f>
        <v>126.8</v>
      </c>
      <c r="E326" s="81"/>
    </row>
    <row r="327" spans="1:5" ht="37.5" hidden="1" customHeight="1" x14ac:dyDescent="0.3">
      <c r="A327" s="143" t="s">
        <v>697</v>
      </c>
      <c r="B327" s="15" t="s">
        <v>557</v>
      </c>
      <c r="C327" s="15" t="s">
        <v>50</v>
      </c>
      <c r="D327" s="72">
        <f>D331+D328</f>
        <v>0</v>
      </c>
      <c r="E327" s="81"/>
    </row>
    <row r="328" spans="1:5" ht="33" hidden="1" customHeight="1" x14ac:dyDescent="0.3">
      <c r="A328" s="143" t="s">
        <v>556</v>
      </c>
      <c r="B328" s="15" t="s">
        <v>701</v>
      </c>
      <c r="C328" s="15" t="s">
        <v>50</v>
      </c>
      <c r="D328" s="72">
        <f>D329</f>
        <v>0</v>
      </c>
      <c r="E328" s="81"/>
    </row>
    <row r="329" spans="1:5" ht="32.25" hidden="1" customHeight="1" x14ac:dyDescent="0.3">
      <c r="A329" s="143" t="s">
        <v>703</v>
      </c>
      <c r="B329" s="15" t="s">
        <v>702</v>
      </c>
      <c r="C329" s="15" t="s">
        <v>50</v>
      </c>
      <c r="D329" s="72">
        <f>D330</f>
        <v>0</v>
      </c>
      <c r="E329" s="81"/>
    </row>
    <row r="330" spans="1:5" ht="37.5" hidden="1" customHeight="1" x14ac:dyDescent="0.3">
      <c r="A330" s="143" t="s">
        <v>264</v>
      </c>
      <c r="B330" s="15" t="s">
        <v>702</v>
      </c>
      <c r="C330" s="15" t="s">
        <v>261</v>
      </c>
      <c r="D330" s="72">
        <f>'В-25'!G1364</f>
        <v>0</v>
      </c>
      <c r="E330" s="81"/>
    </row>
    <row r="331" spans="1:5" ht="37.5" hidden="1" customHeight="1" x14ac:dyDescent="0.3">
      <c r="A331" s="143" t="s">
        <v>698</v>
      </c>
      <c r="B331" s="15" t="s">
        <v>696</v>
      </c>
      <c r="C331" s="15" t="s">
        <v>50</v>
      </c>
      <c r="D331" s="72">
        <f>D332</f>
        <v>0</v>
      </c>
      <c r="E331" s="81"/>
    </row>
    <row r="332" spans="1:5" ht="37.5" hidden="1" customHeight="1" x14ac:dyDescent="0.3">
      <c r="A332" s="173" t="s">
        <v>699</v>
      </c>
      <c r="B332" s="15" t="s">
        <v>700</v>
      </c>
      <c r="C332" s="15" t="s">
        <v>50</v>
      </c>
      <c r="D332" s="72">
        <f>D333</f>
        <v>0</v>
      </c>
      <c r="E332" s="81"/>
    </row>
    <row r="333" spans="1:5" ht="37.5" hidden="1" customHeight="1" x14ac:dyDescent="0.3">
      <c r="A333" s="143" t="s">
        <v>264</v>
      </c>
      <c r="B333" s="15" t="s">
        <v>700</v>
      </c>
      <c r="C333" s="15" t="s">
        <v>261</v>
      </c>
      <c r="D333" s="72">
        <f>'В-25'!G1367</f>
        <v>0</v>
      </c>
      <c r="E333" s="81"/>
    </row>
    <row r="334" spans="1:5" ht="37.5" hidden="1" customHeight="1" x14ac:dyDescent="0.3">
      <c r="A334" s="143" t="s">
        <v>815</v>
      </c>
      <c r="B334" s="157" t="s">
        <v>927</v>
      </c>
      <c r="C334" s="111" t="s">
        <v>50</v>
      </c>
      <c r="D334" s="72">
        <f>D335</f>
        <v>0</v>
      </c>
      <c r="E334" s="81"/>
    </row>
    <row r="335" spans="1:5" ht="37.5" hidden="1" customHeight="1" x14ac:dyDescent="0.3">
      <c r="A335" s="143" t="s">
        <v>264</v>
      </c>
      <c r="B335" s="157" t="s">
        <v>927</v>
      </c>
      <c r="C335" s="14" t="s">
        <v>261</v>
      </c>
      <c r="D335" s="72">
        <f>'В-25'!G1393</f>
        <v>0</v>
      </c>
      <c r="E335" s="81"/>
    </row>
    <row r="336" spans="1:5" ht="37.5" hidden="1" customHeight="1" x14ac:dyDescent="0.3">
      <c r="A336" s="143" t="s">
        <v>815</v>
      </c>
      <c r="B336" s="157" t="s">
        <v>927</v>
      </c>
      <c r="C336" s="111" t="s">
        <v>50</v>
      </c>
      <c r="D336" s="72">
        <f>D337</f>
        <v>0</v>
      </c>
      <c r="E336" s="81"/>
    </row>
    <row r="337" spans="1:5" ht="37.5" hidden="1" customHeight="1" x14ac:dyDescent="0.3">
      <c r="A337" s="143" t="s">
        <v>264</v>
      </c>
      <c r="B337" s="157" t="s">
        <v>927</v>
      </c>
      <c r="C337" s="14" t="s">
        <v>261</v>
      </c>
      <c r="D337" s="72">
        <f>'В-25'!G1395</f>
        <v>0</v>
      </c>
      <c r="E337" s="81"/>
    </row>
    <row r="338" spans="1:5" ht="37.5" hidden="1" customHeight="1" x14ac:dyDescent="0.3">
      <c r="A338" s="244" t="s">
        <v>697</v>
      </c>
      <c r="B338" s="14" t="s">
        <v>872</v>
      </c>
      <c r="C338" s="14" t="s">
        <v>50</v>
      </c>
      <c r="D338" s="72">
        <f>D339</f>
        <v>0</v>
      </c>
      <c r="E338" s="81"/>
    </row>
    <row r="339" spans="1:5" ht="37.5" hidden="1" customHeight="1" x14ac:dyDescent="0.3">
      <c r="A339" s="244" t="s">
        <v>556</v>
      </c>
      <c r="B339" s="14" t="s">
        <v>873</v>
      </c>
      <c r="C339" s="14" t="s">
        <v>50</v>
      </c>
      <c r="D339" s="72">
        <f>D340</f>
        <v>0</v>
      </c>
      <c r="E339" s="81"/>
    </row>
    <row r="340" spans="1:5" ht="37.5" hidden="1" customHeight="1" x14ac:dyDescent="0.3">
      <c r="A340" s="143" t="s">
        <v>387</v>
      </c>
      <c r="B340" s="14" t="s">
        <v>874</v>
      </c>
      <c r="C340" s="14" t="s">
        <v>50</v>
      </c>
      <c r="D340" s="72">
        <f>D341</f>
        <v>0</v>
      </c>
      <c r="E340" s="81"/>
    </row>
    <row r="341" spans="1:5" ht="37.5" hidden="1" customHeight="1" x14ac:dyDescent="0.3">
      <c r="A341" s="143" t="s">
        <v>264</v>
      </c>
      <c r="B341" s="14" t="s">
        <v>874</v>
      </c>
      <c r="C341" s="14" t="s">
        <v>261</v>
      </c>
      <c r="D341" s="72">
        <f>'В-25'!G1208</f>
        <v>0</v>
      </c>
      <c r="E341" s="81"/>
    </row>
    <row r="342" spans="1:5" ht="37.5" hidden="1" customHeight="1" x14ac:dyDescent="0.3">
      <c r="A342" s="143" t="s">
        <v>919</v>
      </c>
      <c r="B342" s="14" t="s">
        <v>918</v>
      </c>
      <c r="C342" s="14" t="s">
        <v>50</v>
      </c>
      <c r="D342" s="72">
        <f>D343</f>
        <v>0</v>
      </c>
      <c r="E342" s="81"/>
    </row>
    <row r="343" spans="1:5" ht="37.5" hidden="1" customHeight="1" x14ac:dyDescent="0.3">
      <c r="A343" s="143" t="s">
        <v>425</v>
      </c>
      <c r="B343" s="14" t="s">
        <v>918</v>
      </c>
      <c r="C343" s="14" t="s">
        <v>59</v>
      </c>
      <c r="D343" s="72">
        <f>'В-25'!G493</f>
        <v>0</v>
      </c>
      <c r="E343" s="81"/>
    </row>
    <row r="344" spans="1:5" ht="37.5" customHeight="1" x14ac:dyDescent="0.3">
      <c r="A344" s="143" t="s">
        <v>1193</v>
      </c>
      <c r="B344" s="31" t="s">
        <v>1194</v>
      </c>
      <c r="C344" s="31" t="s">
        <v>50</v>
      </c>
      <c r="D344" s="72">
        <f>D345</f>
        <v>541.1</v>
      </c>
      <c r="E344" s="81"/>
    </row>
    <row r="345" spans="1:5" ht="37.5" customHeight="1" x14ac:dyDescent="0.3">
      <c r="A345" s="143" t="s">
        <v>58</v>
      </c>
      <c r="B345" s="31" t="s">
        <v>1194</v>
      </c>
      <c r="C345" s="31" t="s">
        <v>59</v>
      </c>
      <c r="D345" s="72">
        <f>'В-25'!G995</f>
        <v>541.1</v>
      </c>
      <c r="E345" s="81"/>
    </row>
    <row r="346" spans="1:5" ht="61.5" customHeight="1" x14ac:dyDescent="0.3">
      <c r="A346" s="169" t="s">
        <v>159</v>
      </c>
      <c r="B346" s="21" t="s">
        <v>91</v>
      </c>
      <c r="C346" s="9" t="s">
        <v>50</v>
      </c>
      <c r="D346" s="196">
        <f>D347+D352+D358+D367+D363+D365</f>
        <v>124898.3</v>
      </c>
      <c r="E346" s="81"/>
    </row>
    <row r="347" spans="1:5" ht="36.75" customHeight="1" x14ac:dyDescent="0.3">
      <c r="A347" s="143" t="s">
        <v>52</v>
      </c>
      <c r="B347" s="14" t="s">
        <v>358</v>
      </c>
      <c r="C347" s="14" t="s">
        <v>50</v>
      </c>
      <c r="D347" s="72">
        <f>D348+D350+D361</f>
        <v>56857.000000000007</v>
      </c>
      <c r="E347" s="81"/>
    </row>
    <row r="348" spans="1:5" ht="25.5" customHeight="1" x14ac:dyDescent="0.3">
      <c r="A348" s="143" t="s">
        <v>384</v>
      </c>
      <c r="B348" s="14" t="s">
        <v>359</v>
      </c>
      <c r="C348" s="14" t="s">
        <v>50</v>
      </c>
      <c r="D348" s="72">
        <f>D349</f>
        <v>43817.000000000007</v>
      </c>
      <c r="E348" s="81"/>
    </row>
    <row r="349" spans="1:5" ht="42.75" customHeight="1" x14ac:dyDescent="0.3">
      <c r="A349" s="143" t="s">
        <v>264</v>
      </c>
      <c r="B349" s="14" t="s">
        <v>359</v>
      </c>
      <c r="C349" s="14" t="s">
        <v>261</v>
      </c>
      <c r="D349" s="72">
        <f>'В-25'!G1538</f>
        <v>43817.000000000007</v>
      </c>
      <c r="E349" s="81"/>
    </row>
    <row r="350" spans="1:5" ht="36.75" customHeight="1" x14ac:dyDescent="0.3">
      <c r="A350" s="162" t="s">
        <v>374</v>
      </c>
      <c r="B350" s="14" t="s">
        <v>511</v>
      </c>
      <c r="C350" s="14" t="s">
        <v>50</v>
      </c>
      <c r="D350" s="72">
        <f>D351</f>
        <v>13040</v>
      </c>
      <c r="E350" s="81"/>
    </row>
    <row r="351" spans="1:5" ht="36.75" customHeight="1" x14ac:dyDescent="0.3">
      <c r="A351" s="143" t="s">
        <v>264</v>
      </c>
      <c r="B351" s="14" t="s">
        <v>511</v>
      </c>
      <c r="C351" s="14" t="s">
        <v>261</v>
      </c>
      <c r="D351" s="72">
        <f>'В-25'!G1540</f>
        <v>13040</v>
      </c>
      <c r="E351" s="81"/>
    </row>
    <row r="352" spans="1:5" ht="27.75" hidden="1" customHeight="1" x14ac:dyDescent="0.3">
      <c r="A352" s="143" t="s">
        <v>62</v>
      </c>
      <c r="B352" s="14" t="s">
        <v>332</v>
      </c>
      <c r="C352" s="14" t="s">
        <v>50</v>
      </c>
      <c r="D352" s="72">
        <f>D353</f>
        <v>0</v>
      </c>
      <c r="E352" s="81"/>
    </row>
    <row r="353" spans="1:5" ht="22.5" hidden="1" customHeight="1" x14ac:dyDescent="0.3">
      <c r="A353" s="143" t="s">
        <v>331</v>
      </c>
      <c r="B353" s="14" t="s">
        <v>333</v>
      </c>
      <c r="C353" s="14" t="s">
        <v>50</v>
      </c>
      <c r="D353" s="72">
        <f>D354+D355+D356</f>
        <v>0</v>
      </c>
      <c r="E353" s="81"/>
    </row>
    <row r="354" spans="1:5" ht="78.75" hidden="1" customHeight="1" outlineLevel="1" x14ac:dyDescent="0.3">
      <c r="A354" s="143" t="s">
        <v>56</v>
      </c>
      <c r="B354" s="14" t="s">
        <v>333</v>
      </c>
      <c r="C354" s="14" t="s">
        <v>57</v>
      </c>
      <c r="D354" s="72">
        <f>'В-25'!G1512</f>
        <v>0</v>
      </c>
      <c r="E354" s="81"/>
    </row>
    <row r="355" spans="1:5" ht="38.25" hidden="1" customHeight="1" x14ac:dyDescent="0.3">
      <c r="A355" s="143" t="s">
        <v>425</v>
      </c>
      <c r="B355" s="14" t="s">
        <v>333</v>
      </c>
      <c r="C355" s="14" t="s">
        <v>59</v>
      </c>
      <c r="D355" s="72">
        <f>'[2]В-21'!G838+'[2]В-21'!G240</f>
        <v>0</v>
      </c>
      <c r="E355" s="81"/>
    </row>
    <row r="356" spans="1:5" ht="38.25" hidden="1" customHeight="1" x14ac:dyDescent="0.3">
      <c r="A356" s="143" t="s">
        <v>264</v>
      </c>
      <c r="B356" s="14" t="s">
        <v>333</v>
      </c>
      <c r="C356" s="14" t="s">
        <v>261</v>
      </c>
      <c r="D356" s="72">
        <v>0</v>
      </c>
      <c r="E356" s="81"/>
    </row>
    <row r="357" spans="1:5" ht="21.75" hidden="1" customHeight="1" x14ac:dyDescent="0.3">
      <c r="A357" s="143" t="s">
        <v>411</v>
      </c>
      <c r="B357" s="69" t="s">
        <v>410</v>
      </c>
      <c r="C357" s="14" t="s">
        <v>50</v>
      </c>
      <c r="D357" s="72">
        <f>D358</f>
        <v>0</v>
      </c>
      <c r="E357" s="81"/>
    </row>
    <row r="358" spans="1:5" ht="26.25" hidden="1" customHeight="1" x14ac:dyDescent="0.3">
      <c r="A358" s="174" t="s">
        <v>412</v>
      </c>
      <c r="B358" s="15" t="s">
        <v>363</v>
      </c>
      <c r="C358" s="15" t="s">
        <v>50</v>
      </c>
      <c r="D358" s="72">
        <f>D359</f>
        <v>0</v>
      </c>
      <c r="E358" s="81"/>
    </row>
    <row r="359" spans="1:5" ht="75" hidden="1" x14ac:dyDescent="0.3">
      <c r="A359" s="174" t="s">
        <v>362</v>
      </c>
      <c r="B359" s="15" t="s">
        <v>364</v>
      </c>
      <c r="C359" s="15" t="s">
        <v>50</v>
      </c>
      <c r="D359" s="72">
        <f>D360</f>
        <v>0</v>
      </c>
      <c r="E359" s="81"/>
    </row>
    <row r="360" spans="1:5" ht="37.5" hidden="1" x14ac:dyDescent="0.3">
      <c r="A360" s="174" t="s">
        <v>264</v>
      </c>
      <c r="B360" s="15" t="s">
        <v>364</v>
      </c>
      <c r="C360" s="14" t="s">
        <v>261</v>
      </c>
      <c r="D360" s="72">
        <f>'[2]В-21'!G855</f>
        <v>0</v>
      </c>
      <c r="E360" s="81"/>
    </row>
    <row r="361" spans="1:5" ht="18.75" hidden="1" x14ac:dyDescent="0.3">
      <c r="A361" s="143" t="s">
        <v>673</v>
      </c>
      <c r="B361" s="14" t="s">
        <v>958</v>
      </c>
      <c r="C361" s="14" t="s">
        <v>50</v>
      </c>
      <c r="D361" s="72">
        <f>D362</f>
        <v>0</v>
      </c>
      <c r="E361" s="81"/>
    </row>
    <row r="362" spans="1:5" ht="37.5" hidden="1" x14ac:dyDescent="0.3">
      <c r="A362" s="143" t="s">
        <v>290</v>
      </c>
      <c r="B362" s="14" t="s">
        <v>958</v>
      </c>
      <c r="C362" s="14" t="s">
        <v>291</v>
      </c>
      <c r="D362" s="72">
        <f>'В-25'!G1529</f>
        <v>0</v>
      </c>
      <c r="E362" s="81"/>
    </row>
    <row r="363" spans="1:5" ht="56.25" x14ac:dyDescent="0.3">
      <c r="A363" s="277" t="s">
        <v>1150</v>
      </c>
      <c r="B363" s="113" t="s">
        <v>1175</v>
      </c>
      <c r="C363" s="14" t="s">
        <v>50</v>
      </c>
      <c r="D363" s="72">
        <f>D364</f>
        <v>64241.299999999996</v>
      </c>
      <c r="E363" s="81"/>
    </row>
    <row r="364" spans="1:5" ht="37.5" x14ac:dyDescent="0.3">
      <c r="A364" s="143" t="s">
        <v>264</v>
      </c>
      <c r="B364" s="113" t="s">
        <v>1175</v>
      </c>
      <c r="C364" s="14" t="s">
        <v>261</v>
      </c>
      <c r="D364" s="72">
        <f>'В-25'!G1548</f>
        <v>64241.299999999996</v>
      </c>
      <c r="E364" s="81"/>
    </row>
    <row r="365" spans="1:5" ht="37.5" x14ac:dyDescent="0.3">
      <c r="A365" s="143" t="s">
        <v>1196</v>
      </c>
      <c r="B365" s="15" t="s">
        <v>1195</v>
      </c>
      <c r="C365" s="14" t="s">
        <v>50</v>
      </c>
      <c r="D365" s="72">
        <f>D366</f>
        <v>3000</v>
      </c>
      <c r="E365" s="81"/>
    </row>
    <row r="366" spans="1:5" ht="37.5" x14ac:dyDescent="0.3">
      <c r="A366" s="143" t="s">
        <v>264</v>
      </c>
      <c r="B366" s="15" t="s">
        <v>1195</v>
      </c>
      <c r="C366" s="14" t="s">
        <v>261</v>
      </c>
      <c r="D366" s="72">
        <f>'В-25'!G1576</f>
        <v>3000</v>
      </c>
      <c r="E366" s="81"/>
    </row>
    <row r="367" spans="1:5" s="225" customFormat="1" ht="18.75" x14ac:dyDescent="0.3">
      <c r="A367" s="186" t="s">
        <v>409</v>
      </c>
      <c r="B367" s="9" t="s">
        <v>704</v>
      </c>
      <c r="C367" s="9" t="s">
        <v>50</v>
      </c>
      <c r="D367" s="196">
        <f>D371+D373+D375+D368+D378</f>
        <v>800</v>
      </c>
      <c r="E367" s="224"/>
    </row>
    <row r="368" spans="1:5" ht="18.75" hidden="1" x14ac:dyDescent="0.3">
      <c r="A368" s="143" t="s">
        <v>62</v>
      </c>
      <c r="B368" s="15" t="s">
        <v>749</v>
      </c>
      <c r="C368" s="14" t="s">
        <v>50</v>
      </c>
      <c r="D368" s="72">
        <f>D369</f>
        <v>0</v>
      </c>
      <c r="E368" s="81"/>
    </row>
    <row r="369" spans="1:7" ht="18.75" hidden="1" x14ac:dyDescent="0.3">
      <c r="A369" s="143" t="s">
        <v>289</v>
      </c>
      <c r="B369" s="15" t="s">
        <v>748</v>
      </c>
      <c r="C369" s="14" t="s">
        <v>50</v>
      </c>
      <c r="D369" s="72">
        <f>D370</f>
        <v>0</v>
      </c>
      <c r="E369" s="81"/>
    </row>
    <row r="370" spans="1:7" ht="37.5" hidden="1" x14ac:dyDescent="0.3">
      <c r="A370" s="143" t="s">
        <v>264</v>
      </c>
      <c r="B370" s="15" t="s">
        <v>748</v>
      </c>
      <c r="C370" s="14" t="s">
        <v>261</v>
      </c>
      <c r="D370" s="72">
        <f>'В-25'!G1523</f>
        <v>0</v>
      </c>
      <c r="E370" s="81"/>
    </row>
    <row r="371" spans="1:7" ht="24.75" customHeight="1" x14ac:dyDescent="0.3">
      <c r="A371" s="232" t="s">
        <v>876</v>
      </c>
      <c r="B371" s="113" t="s">
        <v>1183</v>
      </c>
      <c r="C371" s="14" t="s">
        <v>50</v>
      </c>
      <c r="D371" s="72">
        <f>D372</f>
        <v>800</v>
      </c>
      <c r="E371" s="81"/>
    </row>
    <row r="372" spans="1:7" ht="37.5" x14ac:dyDescent="0.3">
      <c r="A372" s="143" t="s">
        <v>264</v>
      </c>
      <c r="B372" s="113" t="s">
        <v>1183</v>
      </c>
      <c r="C372" s="14" t="s">
        <v>261</v>
      </c>
      <c r="D372" s="72">
        <f>'В-25'!G1546</f>
        <v>800</v>
      </c>
      <c r="E372" s="81"/>
    </row>
    <row r="373" spans="1:7" ht="56.25" hidden="1" x14ac:dyDescent="0.3">
      <c r="A373" s="156" t="s">
        <v>705</v>
      </c>
      <c r="B373" s="14" t="s">
        <v>772</v>
      </c>
      <c r="C373" s="14" t="s">
        <v>50</v>
      </c>
      <c r="D373" s="72">
        <f>D374</f>
        <v>0</v>
      </c>
      <c r="E373" s="81"/>
    </row>
    <row r="374" spans="1:7" ht="37.5" hidden="1" x14ac:dyDescent="0.3">
      <c r="A374" s="143" t="s">
        <v>264</v>
      </c>
      <c r="B374" s="14" t="s">
        <v>772</v>
      </c>
      <c r="C374" s="14" t="s">
        <v>261</v>
      </c>
      <c r="D374" s="72">
        <f>'В-25'!G1525</f>
        <v>0</v>
      </c>
      <c r="E374" s="81"/>
    </row>
    <row r="375" spans="1:7" ht="56.25" hidden="1" x14ac:dyDescent="0.3">
      <c r="A375" s="156" t="s">
        <v>705</v>
      </c>
      <c r="B375" s="14" t="s">
        <v>773</v>
      </c>
      <c r="C375" s="14" t="s">
        <v>50</v>
      </c>
      <c r="D375" s="72">
        <f>D376</f>
        <v>0</v>
      </c>
      <c r="E375" s="81"/>
    </row>
    <row r="376" spans="1:7" ht="37.5" hidden="1" x14ac:dyDescent="0.3">
      <c r="A376" s="143" t="s">
        <v>264</v>
      </c>
      <c r="B376" s="14" t="s">
        <v>773</v>
      </c>
      <c r="C376" s="14" t="s">
        <v>261</v>
      </c>
      <c r="D376" s="72">
        <f>'В-25'!G1527</f>
        <v>0</v>
      </c>
      <c r="E376" s="81"/>
    </row>
    <row r="377" spans="1:7" ht="18.75" hidden="1" x14ac:dyDescent="0.3">
      <c r="A377" s="143" t="s">
        <v>311</v>
      </c>
      <c r="B377" s="14" t="s">
        <v>1128</v>
      </c>
      <c r="C377" s="14" t="s">
        <v>50</v>
      </c>
      <c r="D377" s="72">
        <f>D378</f>
        <v>0</v>
      </c>
      <c r="E377" s="81"/>
    </row>
    <row r="378" spans="1:7" ht="37.5" hidden="1" x14ac:dyDescent="0.3">
      <c r="A378" s="143" t="s">
        <v>264</v>
      </c>
      <c r="B378" s="14" t="s">
        <v>1128</v>
      </c>
      <c r="C378" s="14" t="s">
        <v>261</v>
      </c>
      <c r="D378" s="72">
        <f>'В-25'!G1533</f>
        <v>0</v>
      </c>
      <c r="E378" s="81"/>
    </row>
    <row r="379" spans="1:7" ht="56.25" x14ac:dyDescent="0.3">
      <c r="A379" s="169" t="s">
        <v>0</v>
      </c>
      <c r="B379" s="21" t="s">
        <v>92</v>
      </c>
      <c r="C379" s="9" t="s">
        <v>50</v>
      </c>
      <c r="D379" s="196">
        <f>D380+D396+D419+D438+D450+D444</f>
        <v>42862.400000000001</v>
      </c>
      <c r="E379" s="81"/>
    </row>
    <row r="380" spans="1:7" ht="39" x14ac:dyDescent="0.35">
      <c r="A380" s="161" t="s">
        <v>1</v>
      </c>
      <c r="B380" s="63" t="s">
        <v>93</v>
      </c>
      <c r="C380" s="64" t="s">
        <v>50</v>
      </c>
      <c r="D380" s="197">
        <f>D389+D381+D385+D387</f>
        <v>1937.1</v>
      </c>
      <c r="E380" s="81"/>
      <c r="G380" s="88"/>
    </row>
    <row r="381" spans="1:7" ht="18.75" x14ac:dyDescent="0.3">
      <c r="A381" s="143" t="s">
        <v>62</v>
      </c>
      <c r="B381" s="14" t="s">
        <v>403</v>
      </c>
      <c r="C381" s="14" t="s">
        <v>50</v>
      </c>
      <c r="D381" s="72">
        <f>D382</f>
        <v>157</v>
      </c>
      <c r="E381" s="81"/>
      <c r="G381" s="88"/>
    </row>
    <row r="382" spans="1:7" ht="18.75" x14ac:dyDescent="0.3">
      <c r="A382" s="143" t="s">
        <v>156</v>
      </c>
      <c r="B382" s="14" t="s">
        <v>404</v>
      </c>
      <c r="C382" s="14" t="s">
        <v>50</v>
      </c>
      <c r="D382" s="72">
        <f>D383+D384</f>
        <v>157</v>
      </c>
      <c r="E382" s="81"/>
    </row>
    <row r="383" spans="1:7" ht="75" x14ac:dyDescent="0.3">
      <c r="A383" s="143" t="s">
        <v>56</v>
      </c>
      <c r="B383" s="14" t="s">
        <v>404</v>
      </c>
      <c r="C383" s="14" t="s">
        <v>57</v>
      </c>
      <c r="D383" s="72">
        <f>'В-25'!G678</f>
        <v>147</v>
      </c>
      <c r="E383" s="81"/>
    </row>
    <row r="384" spans="1:7" ht="37.5" x14ac:dyDescent="0.3">
      <c r="A384" s="143" t="s">
        <v>425</v>
      </c>
      <c r="B384" s="14" t="s">
        <v>404</v>
      </c>
      <c r="C384" s="14" t="s">
        <v>59</v>
      </c>
      <c r="D384" s="72">
        <f>'В-25'!G679</f>
        <v>10</v>
      </c>
      <c r="E384" s="81"/>
    </row>
    <row r="385" spans="1:5" ht="18.75" x14ac:dyDescent="0.3">
      <c r="A385" s="143" t="s">
        <v>687</v>
      </c>
      <c r="B385" s="113" t="s">
        <v>1179</v>
      </c>
      <c r="C385" s="14" t="s">
        <v>50</v>
      </c>
      <c r="D385" s="72">
        <f>D386</f>
        <v>56.5</v>
      </c>
      <c r="E385" s="81"/>
    </row>
    <row r="386" spans="1:5" ht="75" x14ac:dyDescent="0.3">
      <c r="A386" s="143" t="s">
        <v>56</v>
      </c>
      <c r="B386" s="113" t="s">
        <v>1179</v>
      </c>
      <c r="C386" s="14" t="s">
        <v>57</v>
      </c>
      <c r="D386" s="72">
        <f>'В-25'!G681</f>
        <v>56.5</v>
      </c>
      <c r="E386" s="81"/>
    </row>
    <row r="387" spans="1:5" ht="18.75" x14ac:dyDescent="0.3">
      <c r="A387" s="143" t="s">
        <v>687</v>
      </c>
      <c r="B387" s="113" t="s">
        <v>1180</v>
      </c>
      <c r="C387" s="14" t="s">
        <v>50</v>
      </c>
      <c r="D387" s="72">
        <f>D388</f>
        <v>0.6</v>
      </c>
      <c r="E387" s="81"/>
    </row>
    <row r="388" spans="1:5" ht="75" x14ac:dyDescent="0.3">
      <c r="A388" s="143" t="s">
        <v>56</v>
      </c>
      <c r="B388" s="113" t="s">
        <v>1180</v>
      </c>
      <c r="C388" s="14" t="s">
        <v>57</v>
      </c>
      <c r="D388" s="72">
        <f>'В-25'!G683</f>
        <v>0.6</v>
      </c>
      <c r="E388" s="81"/>
    </row>
    <row r="389" spans="1:5" ht="56.25" x14ac:dyDescent="0.3">
      <c r="A389" s="143" t="s">
        <v>173</v>
      </c>
      <c r="B389" s="14" t="s">
        <v>843</v>
      </c>
      <c r="C389" s="14" t="s">
        <v>50</v>
      </c>
      <c r="D389" s="72">
        <f>D390+D393</f>
        <v>1723</v>
      </c>
      <c r="E389" s="81"/>
    </row>
    <row r="390" spans="1:5" ht="18.75" hidden="1" outlineLevel="1" x14ac:dyDescent="0.3">
      <c r="A390" s="143" t="s">
        <v>206</v>
      </c>
      <c r="B390" s="14" t="s">
        <v>207</v>
      </c>
      <c r="C390" s="14" t="s">
        <v>50</v>
      </c>
      <c r="D390" s="72">
        <f>D391+D392</f>
        <v>0</v>
      </c>
      <c r="E390" s="81"/>
    </row>
    <row r="391" spans="1:5" ht="75" hidden="1" outlineLevel="1" x14ac:dyDescent="0.3">
      <c r="A391" s="143" t="s">
        <v>56</v>
      </c>
      <c r="B391" s="14" t="s">
        <v>207</v>
      </c>
      <c r="C391" s="14" t="s">
        <v>57</v>
      </c>
      <c r="D391" s="72">
        <v>0</v>
      </c>
      <c r="E391" s="81"/>
    </row>
    <row r="392" spans="1:5" ht="18.75" hidden="1" outlineLevel="1" x14ac:dyDescent="0.3">
      <c r="A392" s="143" t="s">
        <v>58</v>
      </c>
      <c r="B392" s="14" t="s">
        <v>207</v>
      </c>
      <c r="C392" s="14" t="s">
        <v>59</v>
      </c>
      <c r="D392" s="72">
        <v>0</v>
      </c>
      <c r="E392" s="81"/>
    </row>
    <row r="393" spans="1:5" ht="93.75" collapsed="1" x14ac:dyDescent="0.3">
      <c r="A393" s="143" t="s">
        <v>532</v>
      </c>
      <c r="B393" s="113" t="s">
        <v>1164</v>
      </c>
      <c r="C393" s="14" t="s">
        <v>50</v>
      </c>
      <c r="D393" s="72">
        <f>D394+D395</f>
        <v>1723</v>
      </c>
      <c r="E393" s="81"/>
    </row>
    <row r="394" spans="1:5" ht="75" x14ac:dyDescent="0.3">
      <c r="A394" s="143" t="s">
        <v>56</v>
      </c>
      <c r="B394" s="113" t="s">
        <v>1164</v>
      </c>
      <c r="C394" s="14" t="s">
        <v>57</v>
      </c>
      <c r="D394" s="72">
        <f>'В-25'!G514</f>
        <v>1679</v>
      </c>
      <c r="E394" s="81"/>
    </row>
    <row r="395" spans="1:5" ht="37.5" x14ac:dyDescent="0.3">
      <c r="A395" s="143" t="s">
        <v>425</v>
      </c>
      <c r="B395" s="113" t="s">
        <v>1164</v>
      </c>
      <c r="C395" s="14" t="s">
        <v>59</v>
      </c>
      <c r="D395" s="72">
        <f>'В-25'!G515</f>
        <v>44</v>
      </c>
      <c r="E395" s="81"/>
    </row>
    <row r="396" spans="1:5" ht="58.5" x14ac:dyDescent="0.35">
      <c r="A396" s="161" t="s">
        <v>2</v>
      </c>
      <c r="B396" s="63" t="s">
        <v>26</v>
      </c>
      <c r="C396" s="65" t="s">
        <v>50</v>
      </c>
      <c r="D396" s="197">
        <f>D397+D405+D409+D414</f>
        <v>7125.8</v>
      </c>
      <c r="E396" s="81"/>
    </row>
    <row r="397" spans="1:5" ht="18.75" x14ac:dyDescent="0.3">
      <c r="A397" s="176" t="s">
        <v>62</v>
      </c>
      <c r="B397" s="31" t="s">
        <v>287</v>
      </c>
      <c r="C397" s="31" t="s">
        <v>50</v>
      </c>
      <c r="D397" s="72">
        <f>D398+D400+D403</f>
        <v>464</v>
      </c>
      <c r="E397" s="81"/>
    </row>
    <row r="398" spans="1:5" ht="18.75" hidden="1" outlineLevel="1" x14ac:dyDescent="0.3">
      <c r="A398" s="143" t="s">
        <v>318</v>
      </c>
      <c r="B398" s="14" t="s">
        <v>319</v>
      </c>
      <c r="C398" s="14" t="s">
        <v>50</v>
      </c>
      <c r="D398" s="72">
        <f>D399</f>
        <v>0</v>
      </c>
      <c r="E398" s="81"/>
    </row>
    <row r="399" spans="1:5" ht="37.5" hidden="1" outlineLevel="1" x14ac:dyDescent="0.3">
      <c r="A399" s="143" t="s">
        <v>264</v>
      </c>
      <c r="B399" s="14" t="s">
        <v>319</v>
      </c>
      <c r="C399" s="14" t="s">
        <v>261</v>
      </c>
      <c r="D399" s="72">
        <v>0</v>
      </c>
      <c r="E399" s="81"/>
    </row>
    <row r="400" spans="1:5" ht="18.75" hidden="1" collapsed="1" x14ac:dyDescent="0.3">
      <c r="A400" s="176" t="s">
        <v>286</v>
      </c>
      <c r="B400" s="31" t="s">
        <v>288</v>
      </c>
      <c r="C400" s="31" t="s">
        <v>50</v>
      </c>
      <c r="D400" s="72">
        <f>D401+D402</f>
        <v>0</v>
      </c>
      <c r="E400" s="81"/>
    </row>
    <row r="401" spans="1:5" ht="37.5" hidden="1" x14ac:dyDescent="0.3">
      <c r="A401" s="143" t="s">
        <v>425</v>
      </c>
      <c r="B401" s="31" t="s">
        <v>288</v>
      </c>
      <c r="C401" s="31" t="s">
        <v>57</v>
      </c>
      <c r="D401" s="72">
        <f>'В-25'!G177</f>
        <v>0</v>
      </c>
      <c r="E401" s="81"/>
    </row>
    <row r="402" spans="1:5" ht="37.5" hidden="1" x14ac:dyDescent="0.3">
      <c r="A402" s="143" t="s">
        <v>264</v>
      </c>
      <c r="B402" s="31" t="s">
        <v>288</v>
      </c>
      <c r="C402" s="31" t="s">
        <v>261</v>
      </c>
      <c r="D402" s="72">
        <f>'В-25'!G178</f>
        <v>0</v>
      </c>
      <c r="E402" s="81"/>
    </row>
    <row r="403" spans="1:5" ht="18.75" x14ac:dyDescent="0.3">
      <c r="A403" s="143" t="s">
        <v>327</v>
      </c>
      <c r="B403" s="14" t="s">
        <v>328</v>
      </c>
      <c r="C403" s="14" t="s">
        <v>50</v>
      </c>
      <c r="D403" s="72">
        <f>D404</f>
        <v>464</v>
      </c>
      <c r="E403" s="81"/>
    </row>
    <row r="404" spans="1:5" ht="37.5" x14ac:dyDescent="0.3">
      <c r="A404" s="143" t="s">
        <v>264</v>
      </c>
      <c r="B404" s="14" t="s">
        <v>328</v>
      </c>
      <c r="C404" s="14" t="s">
        <v>261</v>
      </c>
      <c r="D404" s="72">
        <f>'В-25'!G1506</f>
        <v>464</v>
      </c>
      <c r="E404" s="81"/>
    </row>
    <row r="405" spans="1:5" ht="37.5" x14ac:dyDescent="0.3">
      <c r="A405" s="143" t="s">
        <v>168</v>
      </c>
      <c r="B405" s="15" t="s">
        <v>170</v>
      </c>
      <c r="C405" s="14" t="s">
        <v>50</v>
      </c>
      <c r="D405" s="72">
        <f>D406+D408+D407</f>
        <v>3467.7</v>
      </c>
      <c r="E405" s="81"/>
    </row>
    <row r="406" spans="1:5" ht="37.5" x14ac:dyDescent="0.3">
      <c r="A406" s="143" t="s">
        <v>425</v>
      </c>
      <c r="B406" s="15" t="s">
        <v>170</v>
      </c>
      <c r="C406" s="14" t="s">
        <v>59</v>
      </c>
      <c r="D406" s="72">
        <f>'В-25'!G338</f>
        <v>3167.7</v>
      </c>
      <c r="E406" s="81"/>
    </row>
    <row r="407" spans="1:5" ht="18.75" hidden="1" x14ac:dyDescent="0.3">
      <c r="A407" s="143" t="s">
        <v>175</v>
      </c>
      <c r="B407" s="15" t="s">
        <v>170</v>
      </c>
      <c r="C407" s="14" t="s">
        <v>176</v>
      </c>
      <c r="D407" s="72">
        <f>'В-25'!G339</f>
        <v>0</v>
      </c>
      <c r="E407" s="81"/>
    </row>
    <row r="408" spans="1:5" ht="37.5" x14ac:dyDescent="0.3">
      <c r="A408" s="143" t="s">
        <v>264</v>
      </c>
      <c r="B408" s="15" t="s">
        <v>170</v>
      </c>
      <c r="C408" s="14" t="s">
        <v>261</v>
      </c>
      <c r="D408" s="72">
        <f>'В-25'!G340</f>
        <v>300</v>
      </c>
      <c r="E408" s="81"/>
    </row>
    <row r="409" spans="1:5" ht="56.25" hidden="1" x14ac:dyDescent="0.3">
      <c r="A409" s="143" t="s">
        <v>173</v>
      </c>
      <c r="B409" s="14" t="s">
        <v>804</v>
      </c>
      <c r="C409" s="14" t="s">
        <v>50</v>
      </c>
      <c r="D409" s="72">
        <f>D410</f>
        <v>2502</v>
      </c>
      <c r="E409" s="81"/>
    </row>
    <row r="410" spans="1:5" ht="75" x14ac:dyDescent="0.3">
      <c r="A410" s="143" t="s">
        <v>179</v>
      </c>
      <c r="B410" s="113" t="s">
        <v>1163</v>
      </c>
      <c r="C410" s="14" t="s">
        <v>50</v>
      </c>
      <c r="D410" s="72">
        <f>D412+D413+D411</f>
        <v>2502</v>
      </c>
      <c r="E410" s="81"/>
    </row>
    <row r="411" spans="1:5" ht="75" x14ac:dyDescent="0.3">
      <c r="A411" s="143" t="s">
        <v>56</v>
      </c>
      <c r="B411" s="113" t="s">
        <v>1163</v>
      </c>
      <c r="C411" s="14" t="s">
        <v>57</v>
      </c>
      <c r="D411" s="72">
        <f>'В-25'!G365+'В-25'!G312</f>
        <v>49</v>
      </c>
      <c r="E411" s="81"/>
    </row>
    <row r="412" spans="1:5" ht="37.5" x14ac:dyDescent="0.3">
      <c r="A412" s="143" t="s">
        <v>425</v>
      </c>
      <c r="B412" s="113" t="s">
        <v>1163</v>
      </c>
      <c r="C412" s="14" t="s">
        <v>59</v>
      </c>
      <c r="D412" s="72">
        <f>'В-25'!G313+'В-25'!G366</f>
        <v>26</v>
      </c>
      <c r="E412" s="81"/>
    </row>
    <row r="413" spans="1:5" ht="18.75" x14ac:dyDescent="0.3">
      <c r="A413" s="143" t="s">
        <v>175</v>
      </c>
      <c r="B413" s="113" t="s">
        <v>1163</v>
      </c>
      <c r="C413" s="14" t="s">
        <v>176</v>
      </c>
      <c r="D413" s="72">
        <f>'В-25'!G367</f>
        <v>2427</v>
      </c>
      <c r="E413" s="81"/>
    </row>
    <row r="414" spans="1:5" ht="131.25" x14ac:dyDescent="0.3">
      <c r="A414" s="143" t="s">
        <v>923</v>
      </c>
      <c r="B414" s="113" t="s">
        <v>1167</v>
      </c>
      <c r="C414" s="14" t="s">
        <v>50</v>
      </c>
      <c r="D414" s="72">
        <f>D415+D416+D418+D417</f>
        <v>692.1</v>
      </c>
      <c r="E414" s="81"/>
    </row>
    <row r="415" spans="1:5" ht="37.5" x14ac:dyDescent="0.3">
      <c r="A415" s="143" t="s">
        <v>425</v>
      </c>
      <c r="B415" s="113" t="s">
        <v>1167</v>
      </c>
      <c r="C415" s="14" t="s">
        <v>59</v>
      </c>
      <c r="D415" s="72">
        <f>'В-25'!G369</f>
        <v>536</v>
      </c>
      <c r="E415" s="81"/>
    </row>
    <row r="416" spans="1:5" ht="18.75" hidden="1" x14ac:dyDescent="0.3">
      <c r="A416" s="143" t="s">
        <v>175</v>
      </c>
      <c r="B416" s="14" t="s">
        <v>922</v>
      </c>
      <c r="C416" s="14" t="s">
        <v>176</v>
      </c>
      <c r="D416" s="72">
        <f>'В-25'!G370</f>
        <v>0</v>
      </c>
      <c r="E416" s="81"/>
    </row>
    <row r="417" spans="1:5" ht="18.75" x14ac:dyDescent="0.3">
      <c r="A417" s="143" t="s">
        <v>175</v>
      </c>
      <c r="B417" s="113" t="s">
        <v>1167</v>
      </c>
      <c r="C417" s="14" t="s">
        <v>176</v>
      </c>
      <c r="D417" s="72">
        <f>'В-25'!G371</f>
        <v>0</v>
      </c>
      <c r="E417" s="81"/>
    </row>
    <row r="418" spans="1:5" ht="37.5" x14ac:dyDescent="0.3">
      <c r="A418" s="143" t="s">
        <v>264</v>
      </c>
      <c r="B418" s="113" t="s">
        <v>1167</v>
      </c>
      <c r="C418" s="14" t="s">
        <v>261</v>
      </c>
      <c r="D418" s="72">
        <f>'В-25'!G372</f>
        <v>156.1</v>
      </c>
      <c r="E418" s="81"/>
    </row>
    <row r="419" spans="1:5" ht="58.5" x14ac:dyDescent="0.35">
      <c r="A419" s="161" t="s">
        <v>3</v>
      </c>
      <c r="B419" s="63" t="s">
        <v>94</v>
      </c>
      <c r="C419" s="65" t="s">
        <v>50</v>
      </c>
      <c r="D419" s="197">
        <f>D420+D433+D436+D442</f>
        <v>30219.9</v>
      </c>
      <c r="E419" s="81"/>
    </row>
    <row r="420" spans="1:5" ht="56.25" hidden="1" x14ac:dyDescent="0.3">
      <c r="A420" s="143" t="s">
        <v>173</v>
      </c>
      <c r="B420" s="14" t="s">
        <v>843</v>
      </c>
      <c r="C420" s="14" t="s">
        <v>50</v>
      </c>
      <c r="D420" s="72">
        <f>D424+D428+D421</f>
        <v>15824</v>
      </c>
      <c r="E420" s="81"/>
    </row>
    <row r="421" spans="1:5" ht="18.75" x14ac:dyDescent="0.3">
      <c r="A421" s="143" t="s">
        <v>206</v>
      </c>
      <c r="B421" s="113" t="s">
        <v>1159</v>
      </c>
      <c r="C421" s="14" t="s">
        <v>50</v>
      </c>
      <c r="D421" s="72">
        <f>D422+D423</f>
        <v>3058</v>
      </c>
      <c r="E421" s="81"/>
    </row>
    <row r="422" spans="1:5" ht="75" x14ac:dyDescent="0.3">
      <c r="A422" s="143" t="s">
        <v>56</v>
      </c>
      <c r="B422" s="113" t="s">
        <v>1159</v>
      </c>
      <c r="C422" s="14" t="s">
        <v>57</v>
      </c>
      <c r="D422" s="72">
        <f>'В-25'!G519</f>
        <v>3015.2</v>
      </c>
      <c r="E422" s="81"/>
    </row>
    <row r="423" spans="1:5" ht="37.5" x14ac:dyDescent="0.3">
      <c r="A423" s="143" t="s">
        <v>425</v>
      </c>
      <c r="B423" s="14" t="s">
        <v>1159</v>
      </c>
      <c r="C423" s="14" t="s">
        <v>59</v>
      </c>
      <c r="D423" s="72">
        <f>'В-25'!G520</f>
        <v>42.8</v>
      </c>
      <c r="E423" s="81"/>
    </row>
    <row r="424" spans="1:5" ht="93.75" x14ac:dyDescent="0.3">
      <c r="A424" s="143" t="s">
        <v>174</v>
      </c>
      <c r="B424" s="113" t="s">
        <v>1161</v>
      </c>
      <c r="C424" s="14" t="s">
        <v>50</v>
      </c>
      <c r="D424" s="72">
        <f>D425+D426+D427</f>
        <v>12694</v>
      </c>
      <c r="E424" s="81"/>
    </row>
    <row r="425" spans="1:5" ht="37.5" x14ac:dyDescent="0.3">
      <c r="A425" s="143" t="s">
        <v>425</v>
      </c>
      <c r="B425" s="113" t="s">
        <v>1161</v>
      </c>
      <c r="C425" s="14" t="s">
        <v>59</v>
      </c>
      <c r="D425" s="72">
        <f>'В-25'!G376</f>
        <v>114.8</v>
      </c>
      <c r="E425" s="81"/>
    </row>
    <row r="426" spans="1:5" ht="18.75" x14ac:dyDescent="0.3">
      <c r="A426" s="143" t="s">
        <v>175</v>
      </c>
      <c r="B426" s="113" t="s">
        <v>1161</v>
      </c>
      <c r="C426" s="14" t="s">
        <v>176</v>
      </c>
      <c r="D426" s="72">
        <f>'В-25'!G377</f>
        <v>12579.2</v>
      </c>
      <c r="E426" s="81"/>
    </row>
    <row r="427" spans="1:5" ht="37.5" x14ac:dyDescent="0.3">
      <c r="A427" s="143" t="s">
        <v>264</v>
      </c>
      <c r="B427" s="113" t="s">
        <v>1161</v>
      </c>
      <c r="C427" s="14" t="s">
        <v>261</v>
      </c>
      <c r="D427" s="72">
        <f>'В-25'!G384</f>
        <v>0</v>
      </c>
      <c r="E427" s="81"/>
    </row>
    <row r="428" spans="1:5" ht="138.75" customHeight="1" x14ac:dyDescent="0.3">
      <c r="A428" s="143" t="s">
        <v>320</v>
      </c>
      <c r="B428" s="113" t="s">
        <v>1186</v>
      </c>
      <c r="C428" s="14" t="s">
        <v>50</v>
      </c>
      <c r="D428" s="72">
        <f>D429+D431</f>
        <v>72</v>
      </c>
      <c r="E428" s="81"/>
    </row>
    <row r="429" spans="1:5" ht="37.5" hidden="1" x14ac:dyDescent="0.3">
      <c r="A429" s="174" t="s">
        <v>321</v>
      </c>
      <c r="B429" s="14" t="s">
        <v>324</v>
      </c>
      <c r="C429" s="14" t="s">
        <v>50</v>
      </c>
      <c r="D429" s="72">
        <f>D430</f>
        <v>0</v>
      </c>
      <c r="E429" s="81"/>
    </row>
    <row r="430" spans="1:5" ht="37.5" hidden="1" x14ac:dyDescent="0.3">
      <c r="A430" s="143" t="s">
        <v>425</v>
      </c>
      <c r="B430" s="14" t="s">
        <v>324</v>
      </c>
      <c r="C430" s="14" t="s">
        <v>59</v>
      </c>
      <c r="D430" s="72">
        <f>'[2]В-21'!G809</f>
        <v>0</v>
      </c>
      <c r="E430" s="81"/>
    </row>
    <row r="431" spans="1:5" ht="18.75" x14ac:dyDescent="0.3">
      <c r="A431" s="174" t="s">
        <v>322</v>
      </c>
      <c r="B431" s="113" t="s">
        <v>1186</v>
      </c>
      <c r="C431" s="14" t="s">
        <v>50</v>
      </c>
      <c r="D431" s="72">
        <f>D432</f>
        <v>72</v>
      </c>
      <c r="E431" s="81"/>
    </row>
    <row r="432" spans="1:5" ht="37.5" x14ac:dyDescent="0.3">
      <c r="A432" s="143" t="s">
        <v>425</v>
      </c>
      <c r="B432" s="113" t="s">
        <v>1186</v>
      </c>
      <c r="C432" s="14" t="s">
        <v>59</v>
      </c>
      <c r="D432" s="72">
        <f>'В-25'!G1472</f>
        <v>72</v>
      </c>
      <c r="E432" s="81"/>
    </row>
    <row r="433" spans="1:5" ht="97.5" customHeight="1" x14ac:dyDescent="0.3">
      <c r="A433" s="165" t="s">
        <v>612</v>
      </c>
      <c r="B433" s="113" t="s">
        <v>1162</v>
      </c>
      <c r="C433" s="36" t="s">
        <v>50</v>
      </c>
      <c r="D433" s="72">
        <f>D434</f>
        <v>14395.9</v>
      </c>
      <c r="E433" s="81"/>
    </row>
    <row r="434" spans="1:5" ht="18.75" hidden="1" x14ac:dyDescent="0.3">
      <c r="A434" s="174" t="s">
        <v>323</v>
      </c>
      <c r="B434" s="36" t="s">
        <v>325</v>
      </c>
      <c r="C434" s="36" t="s">
        <v>50</v>
      </c>
      <c r="D434" s="72">
        <f>D435</f>
        <v>14395.9</v>
      </c>
      <c r="E434" s="81"/>
    </row>
    <row r="435" spans="1:5" ht="37.5" x14ac:dyDescent="0.3">
      <c r="A435" s="143" t="s">
        <v>290</v>
      </c>
      <c r="B435" s="113" t="s">
        <v>1162</v>
      </c>
      <c r="C435" s="14" t="s">
        <v>291</v>
      </c>
      <c r="D435" s="72">
        <f>'В-25'!G1475</f>
        <v>14395.9</v>
      </c>
      <c r="E435" s="81"/>
    </row>
    <row r="436" spans="1:5" ht="93.75" hidden="1" x14ac:dyDescent="0.3">
      <c r="A436" s="165" t="s">
        <v>612</v>
      </c>
      <c r="B436" s="94" t="s">
        <v>613</v>
      </c>
      <c r="C436" s="36" t="s">
        <v>50</v>
      </c>
      <c r="D436" s="72">
        <f>D437</f>
        <v>0</v>
      </c>
      <c r="E436" s="81"/>
    </row>
    <row r="437" spans="1:5" ht="37.5" hidden="1" x14ac:dyDescent="0.3">
      <c r="A437" s="143" t="s">
        <v>290</v>
      </c>
      <c r="B437" s="94" t="s">
        <v>613</v>
      </c>
      <c r="C437" s="14" t="s">
        <v>291</v>
      </c>
      <c r="D437" s="72">
        <f>'В-25'!G1477</f>
        <v>0</v>
      </c>
      <c r="E437" s="81"/>
    </row>
    <row r="438" spans="1:5" ht="58.5" hidden="1" x14ac:dyDescent="0.35">
      <c r="A438" s="177" t="s">
        <v>504</v>
      </c>
      <c r="B438" s="64" t="s">
        <v>520</v>
      </c>
      <c r="C438" s="64" t="s">
        <v>50</v>
      </c>
      <c r="D438" s="197">
        <f>D439</f>
        <v>0</v>
      </c>
      <c r="E438" s="81"/>
    </row>
    <row r="439" spans="1:5" ht="18.75" hidden="1" x14ac:dyDescent="0.3">
      <c r="A439" s="143" t="s">
        <v>62</v>
      </c>
      <c r="B439" s="14" t="s">
        <v>522</v>
      </c>
      <c r="C439" s="14" t="s">
        <v>50</v>
      </c>
      <c r="D439" s="72">
        <f>D440</f>
        <v>0</v>
      </c>
      <c r="E439" s="81"/>
    </row>
    <row r="440" spans="1:5" ht="18.75" hidden="1" x14ac:dyDescent="0.3">
      <c r="A440" s="143" t="s">
        <v>156</v>
      </c>
      <c r="B440" s="14" t="s">
        <v>535</v>
      </c>
      <c r="C440" s="14" t="s">
        <v>50</v>
      </c>
      <c r="D440" s="72">
        <f>D441</f>
        <v>0</v>
      </c>
      <c r="E440" s="81"/>
    </row>
    <row r="441" spans="1:5" ht="37.5" hidden="1" x14ac:dyDescent="0.3">
      <c r="A441" s="143" t="s">
        <v>425</v>
      </c>
      <c r="B441" s="14" t="s">
        <v>535</v>
      </c>
      <c r="C441" s="14" t="s">
        <v>59</v>
      </c>
      <c r="D441" s="72">
        <f>'В-25'!G1277</f>
        <v>0</v>
      </c>
      <c r="E441" s="81"/>
    </row>
    <row r="442" spans="1:5" ht="93.75" hidden="1" x14ac:dyDescent="0.3">
      <c r="A442" s="174" t="s">
        <v>612</v>
      </c>
      <c r="B442" s="113" t="s">
        <v>1162</v>
      </c>
      <c r="C442" s="36" t="s">
        <v>50</v>
      </c>
      <c r="D442" s="72">
        <f>D443</f>
        <v>0</v>
      </c>
      <c r="E442" s="81"/>
    </row>
    <row r="443" spans="1:5" ht="18.75" hidden="1" x14ac:dyDescent="0.3">
      <c r="A443" s="174" t="s">
        <v>323</v>
      </c>
      <c r="B443" s="113" t="s">
        <v>1162</v>
      </c>
      <c r="C443" s="14" t="s">
        <v>291</v>
      </c>
      <c r="D443" s="72">
        <f>'В-25'!G1479</f>
        <v>0</v>
      </c>
      <c r="E443" s="81"/>
    </row>
    <row r="444" spans="1:5" ht="19.5" x14ac:dyDescent="0.35">
      <c r="A444" s="177" t="s">
        <v>1122</v>
      </c>
      <c r="B444" s="64" t="s">
        <v>1119</v>
      </c>
      <c r="C444" s="64" t="s">
        <v>50</v>
      </c>
      <c r="D444" s="197">
        <f>D445+D448</f>
        <v>3529.6</v>
      </c>
      <c r="E444" s="81"/>
    </row>
    <row r="445" spans="1:5" ht="18.75" hidden="1" x14ac:dyDescent="0.3">
      <c r="A445" s="143" t="s">
        <v>62</v>
      </c>
      <c r="B445" s="14" t="s">
        <v>1120</v>
      </c>
      <c r="C445" s="14" t="s">
        <v>50</v>
      </c>
      <c r="D445" s="72">
        <f>D446</f>
        <v>0</v>
      </c>
      <c r="E445" s="81"/>
    </row>
    <row r="446" spans="1:5" ht="18.75" hidden="1" x14ac:dyDescent="0.3">
      <c r="A446" s="143" t="s">
        <v>156</v>
      </c>
      <c r="B446" s="14" t="s">
        <v>1121</v>
      </c>
      <c r="C446" s="14" t="s">
        <v>50</v>
      </c>
      <c r="D446" s="72">
        <f>D447</f>
        <v>0</v>
      </c>
      <c r="E446" s="81"/>
    </row>
    <row r="447" spans="1:5" ht="37.5" hidden="1" x14ac:dyDescent="0.3">
      <c r="A447" s="143" t="s">
        <v>425</v>
      </c>
      <c r="B447" s="14" t="s">
        <v>1121</v>
      </c>
      <c r="C447" s="14" t="s">
        <v>59</v>
      </c>
      <c r="D447" s="72">
        <f>'В-25'!G1283</f>
        <v>0</v>
      </c>
      <c r="E447" s="81"/>
    </row>
    <row r="448" spans="1:5" ht="37.5" x14ac:dyDescent="0.3">
      <c r="A448" s="240" t="s">
        <v>801</v>
      </c>
      <c r="B448" s="113" t="s">
        <v>1173</v>
      </c>
      <c r="C448" s="14" t="s">
        <v>50</v>
      </c>
      <c r="D448" s="72">
        <f>D449</f>
        <v>3529.6</v>
      </c>
      <c r="E448" s="81"/>
    </row>
    <row r="449" spans="1:5" ht="18.75" x14ac:dyDescent="0.3">
      <c r="A449" s="143" t="s">
        <v>175</v>
      </c>
      <c r="B449" s="113" t="s">
        <v>1173</v>
      </c>
      <c r="C449" s="14" t="s">
        <v>176</v>
      </c>
      <c r="D449" s="72">
        <f>D462</f>
        <v>3529.6</v>
      </c>
      <c r="E449" s="81"/>
    </row>
    <row r="450" spans="1:5" ht="19.5" x14ac:dyDescent="0.35">
      <c r="A450" s="177" t="s">
        <v>409</v>
      </c>
      <c r="B450" s="63" t="s">
        <v>450</v>
      </c>
      <c r="C450" s="64" t="s">
        <v>50</v>
      </c>
      <c r="D450" s="197">
        <f>D451+D456+D454</f>
        <v>50</v>
      </c>
      <c r="E450" s="81"/>
    </row>
    <row r="451" spans="1:5" ht="18.75" x14ac:dyDescent="0.3">
      <c r="A451" s="143" t="s">
        <v>62</v>
      </c>
      <c r="B451" s="15" t="s">
        <v>502</v>
      </c>
      <c r="C451" s="14" t="s">
        <v>50</v>
      </c>
      <c r="D451" s="72">
        <f>D452</f>
        <v>50</v>
      </c>
      <c r="E451" s="81"/>
    </row>
    <row r="452" spans="1:5" ht="37.5" x14ac:dyDescent="0.3">
      <c r="A452" s="143" t="s">
        <v>451</v>
      </c>
      <c r="B452" s="15" t="s">
        <v>501</v>
      </c>
      <c r="C452" s="14" t="s">
        <v>50</v>
      </c>
      <c r="D452" s="72">
        <f>D453</f>
        <v>50</v>
      </c>
      <c r="E452" s="81"/>
    </row>
    <row r="453" spans="1:5" ht="37.5" x14ac:dyDescent="0.3">
      <c r="A453" s="143" t="s">
        <v>425</v>
      </c>
      <c r="B453" s="15" t="s">
        <v>501</v>
      </c>
      <c r="C453" s="14" t="s">
        <v>59</v>
      </c>
      <c r="D453" s="72">
        <f>'В-25'!G910</f>
        <v>50</v>
      </c>
      <c r="E453" s="81"/>
    </row>
    <row r="454" spans="1:5" ht="37.5" hidden="1" x14ac:dyDescent="0.3">
      <c r="A454" s="235" t="s">
        <v>168</v>
      </c>
      <c r="B454" s="94" t="s">
        <v>791</v>
      </c>
      <c r="C454" s="14" t="s">
        <v>50</v>
      </c>
      <c r="D454" s="72">
        <f>D455</f>
        <v>0</v>
      </c>
      <c r="E454" s="81"/>
    </row>
    <row r="455" spans="1:5" ht="37.5" hidden="1" x14ac:dyDescent="0.3">
      <c r="A455" s="143" t="s">
        <v>425</v>
      </c>
      <c r="B455" s="94" t="s">
        <v>791</v>
      </c>
      <c r="C455" s="14" t="s">
        <v>59</v>
      </c>
      <c r="D455" s="72">
        <f>'В-25'!G1482+'В-25'!G1445</f>
        <v>0</v>
      </c>
      <c r="E455" s="81"/>
    </row>
    <row r="456" spans="1:5" ht="18.75" hidden="1" x14ac:dyDescent="0.3">
      <c r="A456" s="178" t="s">
        <v>68</v>
      </c>
      <c r="B456" s="94" t="s">
        <v>627</v>
      </c>
      <c r="C456" s="14" t="s">
        <v>50</v>
      </c>
      <c r="D456" s="72">
        <f>D459+D457</f>
        <v>0</v>
      </c>
      <c r="E456" s="81"/>
    </row>
    <row r="457" spans="1:5" ht="66.75" hidden="1" customHeight="1" x14ac:dyDescent="0.3">
      <c r="A457" s="232" t="s">
        <v>797</v>
      </c>
      <c r="B457" s="15" t="s">
        <v>818</v>
      </c>
      <c r="C457" s="14" t="s">
        <v>50</v>
      </c>
      <c r="D457" s="72">
        <f>D458</f>
        <v>0</v>
      </c>
      <c r="E457" s="81"/>
    </row>
    <row r="458" spans="1:5" ht="37.5" hidden="1" x14ac:dyDescent="0.3">
      <c r="A458" s="143" t="s">
        <v>425</v>
      </c>
      <c r="B458" s="15" t="s">
        <v>818</v>
      </c>
      <c r="C458" s="14" t="s">
        <v>59</v>
      </c>
      <c r="D458" s="72">
        <f>'В-25'!G1443</f>
        <v>0</v>
      </c>
      <c r="E458" s="81"/>
    </row>
    <row r="459" spans="1:5" ht="75" hidden="1" x14ac:dyDescent="0.3">
      <c r="A459" s="178" t="s">
        <v>628</v>
      </c>
      <c r="B459" s="94" t="s">
        <v>629</v>
      </c>
      <c r="C459" s="14" t="s">
        <v>50</v>
      </c>
      <c r="D459" s="72">
        <f>D460</f>
        <v>0</v>
      </c>
      <c r="E459" s="81"/>
    </row>
    <row r="460" spans="1:5" ht="18.75" hidden="1" x14ac:dyDescent="0.3">
      <c r="A460" s="143" t="s">
        <v>175</v>
      </c>
      <c r="B460" s="94" t="s">
        <v>629</v>
      </c>
      <c r="C460" s="14" t="s">
        <v>176</v>
      </c>
      <c r="D460" s="72">
        <f>'В-25'!G1487</f>
        <v>0</v>
      </c>
      <c r="E460" s="81"/>
    </row>
    <row r="461" spans="1:5" ht="37.5" hidden="1" x14ac:dyDescent="0.3">
      <c r="A461" s="240" t="s">
        <v>801</v>
      </c>
      <c r="B461" s="14" t="s">
        <v>1117</v>
      </c>
      <c r="C461" s="14" t="s">
        <v>50</v>
      </c>
      <c r="D461" s="72">
        <f>D462</f>
        <v>3529.6</v>
      </c>
      <c r="E461" s="81"/>
    </row>
    <row r="462" spans="1:5" ht="18.75" hidden="1" x14ac:dyDescent="0.3">
      <c r="A462" s="143" t="s">
        <v>175</v>
      </c>
      <c r="B462" s="14" t="s">
        <v>1117</v>
      </c>
      <c r="C462" s="14" t="s">
        <v>176</v>
      </c>
      <c r="D462" s="72">
        <f>'В-25'!G1500</f>
        <v>3529.6</v>
      </c>
      <c r="E462" s="81"/>
    </row>
    <row r="463" spans="1:5" ht="56.25" customHeight="1" x14ac:dyDescent="0.3">
      <c r="A463" s="169" t="s">
        <v>160</v>
      </c>
      <c r="B463" s="21" t="s">
        <v>95</v>
      </c>
      <c r="C463" s="9" t="s">
        <v>50</v>
      </c>
      <c r="D463" s="196">
        <f>D464+D474+D488+D496+D501+D505+D508+D510</f>
        <v>7551.7999999999993</v>
      </c>
      <c r="E463" s="81"/>
    </row>
    <row r="464" spans="1:5" ht="58.5" x14ac:dyDescent="0.35">
      <c r="A464" s="161" t="s">
        <v>4</v>
      </c>
      <c r="B464" s="63" t="s">
        <v>96</v>
      </c>
      <c r="C464" s="64" t="s">
        <v>50</v>
      </c>
      <c r="D464" s="197">
        <f>D465+D471</f>
        <v>3731.1</v>
      </c>
      <c r="E464" s="81"/>
    </row>
    <row r="465" spans="1:5" ht="42" customHeight="1" x14ac:dyDescent="0.3">
      <c r="A465" s="143" t="s">
        <v>52</v>
      </c>
      <c r="B465" s="14" t="s">
        <v>234</v>
      </c>
      <c r="C465" s="14" t="s">
        <v>50</v>
      </c>
      <c r="D465" s="72">
        <f>D466+D469</f>
        <v>3731.1</v>
      </c>
      <c r="E465" s="81"/>
    </row>
    <row r="466" spans="1:5" ht="18.75" x14ac:dyDescent="0.3">
      <c r="A466" s="143" t="s">
        <v>82</v>
      </c>
      <c r="B466" s="14" t="s">
        <v>235</v>
      </c>
      <c r="C466" s="14" t="s">
        <v>50</v>
      </c>
      <c r="D466" s="72">
        <f>D467+D468</f>
        <v>3731.1</v>
      </c>
      <c r="E466" s="81"/>
    </row>
    <row r="467" spans="1:5" ht="75" x14ac:dyDescent="0.3">
      <c r="A467" s="143" t="s">
        <v>56</v>
      </c>
      <c r="B467" s="14" t="s">
        <v>235</v>
      </c>
      <c r="C467" s="14" t="s">
        <v>57</v>
      </c>
      <c r="D467" s="72">
        <f>'В-25'!G649</f>
        <v>3485.5</v>
      </c>
      <c r="E467" s="81"/>
    </row>
    <row r="468" spans="1:5" ht="37.5" x14ac:dyDescent="0.3">
      <c r="A468" s="143" t="s">
        <v>425</v>
      </c>
      <c r="B468" s="14" t="s">
        <v>235</v>
      </c>
      <c r="C468" s="14" t="s">
        <v>59</v>
      </c>
      <c r="D468" s="72">
        <f>'В-25'!G650</f>
        <v>245.60000000000002</v>
      </c>
      <c r="E468" s="81"/>
    </row>
    <row r="469" spans="1:5" ht="37.5" hidden="1" x14ac:dyDescent="0.3">
      <c r="A469" s="162" t="s">
        <v>374</v>
      </c>
      <c r="B469" s="14" t="s">
        <v>512</v>
      </c>
      <c r="C469" s="14" t="s">
        <v>50</v>
      </c>
      <c r="D469" s="72">
        <f>D470</f>
        <v>0</v>
      </c>
      <c r="E469" s="81"/>
    </row>
    <row r="470" spans="1:5" ht="75" hidden="1" x14ac:dyDescent="0.3">
      <c r="A470" s="143" t="s">
        <v>56</v>
      </c>
      <c r="B470" s="14" t="s">
        <v>512</v>
      </c>
      <c r="C470" s="14" t="s">
        <v>57</v>
      </c>
      <c r="D470" s="72">
        <f>'В-25'!G652</f>
        <v>0</v>
      </c>
      <c r="E470" s="81"/>
    </row>
    <row r="471" spans="1:5" ht="56.25" hidden="1" x14ac:dyDescent="0.3">
      <c r="A471" s="143" t="s">
        <v>443</v>
      </c>
      <c r="B471" s="14" t="s">
        <v>444</v>
      </c>
      <c r="C471" s="14" t="s">
        <v>50</v>
      </c>
      <c r="D471" s="72">
        <f>D472+D473</f>
        <v>0</v>
      </c>
      <c r="E471" s="81"/>
    </row>
    <row r="472" spans="1:5" ht="75" hidden="1" x14ac:dyDescent="0.3">
      <c r="A472" s="143" t="s">
        <v>56</v>
      </c>
      <c r="B472" s="14" t="s">
        <v>444</v>
      </c>
      <c r="C472" s="14" t="s">
        <v>57</v>
      </c>
      <c r="D472" s="72">
        <f>'В-25'!G646</f>
        <v>0</v>
      </c>
      <c r="E472" s="81"/>
    </row>
    <row r="473" spans="1:5" ht="37.5" hidden="1" x14ac:dyDescent="0.3">
      <c r="A473" s="143" t="s">
        <v>425</v>
      </c>
      <c r="B473" s="14" t="s">
        <v>444</v>
      </c>
      <c r="C473" s="14" t="s">
        <v>59</v>
      </c>
      <c r="D473" s="72">
        <f>'В-25'!G647</f>
        <v>0</v>
      </c>
      <c r="E473" s="81"/>
    </row>
    <row r="474" spans="1:5" ht="65.25" customHeight="1" x14ac:dyDescent="0.35">
      <c r="A474" s="161" t="s">
        <v>5</v>
      </c>
      <c r="B474" s="63" t="s">
        <v>97</v>
      </c>
      <c r="C474" s="64" t="s">
        <v>50</v>
      </c>
      <c r="D474" s="197">
        <f>D475+D484+D486</f>
        <v>3175.7</v>
      </c>
      <c r="E474" s="81"/>
    </row>
    <row r="475" spans="1:5" ht="42.75" customHeight="1" x14ac:dyDescent="0.3">
      <c r="A475" s="143" t="s">
        <v>52</v>
      </c>
      <c r="B475" s="14" t="s">
        <v>237</v>
      </c>
      <c r="C475" s="14" t="s">
        <v>50</v>
      </c>
      <c r="D475" s="72">
        <f>D476+D480</f>
        <v>3175.7</v>
      </c>
      <c r="E475" s="81"/>
    </row>
    <row r="476" spans="1:5" ht="23.25" customHeight="1" x14ac:dyDescent="0.3">
      <c r="A476" s="143" t="s">
        <v>236</v>
      </c>
      <c r="B476" s="14" t="s">
        <v>238</v>
      </c>
      <c r="C476" s="14" t="s">
        <v>50</v>
      </c>
      <c r="D476" s="72">
        <f>D477+D478+D479+D482</f>
        <v>3175.7</v>
      </c>
      <c r="E476" s="81"/>
    </row>
    <row r="477" spans="1:5" ht="75" x14ac:dyDescent="0.3">
      <c r="A477" s="143" t="s">
        <v>56</v>
      </c>
      <c r="B477" s="14" t="s">
        <v>238</v>
      </c>
      <c r="C477" s="14" t="s">
        <v>57</v>
      </c>
      <c r="D477" s="72">
        <f>'В-25'!G656</f>
        <v>2840</v>
      </c>
      <c r="E477" s="81"/>
    </row>
    <row r="478" spans="1:5" ht="37.5" x14ac:dyDescent="0.3">
      <c r="A478" s="143" t="s">
        <v>425</v>
      </c>
      <c r="B478" s="14" t="s">
        <v>238</v>
      </c>
      <c r="C478" s="14" t="s">
        <v>59</v>
      </c>
      <c r="D478" s="72">
        <f>'В-25'!G657+'В-25'!G687</f>
        <v>335.7</v>
      </c>
      <c r="E478" s="81"/>
    </row>
    <row r="479" spans="1:5" ht="18.75" hidden="1" x14ac:dyDescent="0.3">
      <c r="A479" s="143" t="s">
        <v>60</v>
      </c>
      <c r="B479" s="14" t="s">
        <v>238</v>
      </c>
      <c r="C479" s="14" t="s">
        <v>61</v>
      </c>
      <c r="D479" s="72">
        <f>'В-25'!G658</f>
        <v>0</v>
      </c>
      <c r="E479" s="81"/>
    </row>
    <row r="480" spans="1:5" ht="30.75" hidden="1" customHeight="1" x14ac:dyDescent="0.3">
      <c r="A480" s="162" t="s">
        <v>374</v>
      </c>
      <c r="B480" s="14" t="s">
        <v>513</v>
      </c>
      <c r="C480" s="14" t="s">
        <v>50</v>
      </c>
      <c r="D480" s="72">
        <f>D481</f>
        <v>0</v>
      </c>
      <c r="E480" s="81"/>
    </row>
    <row r="481" spans="1:5" ht="75" hidden="1" x14ac:dyDescent="0.3">
      <c r="A481" s="143" t="s">
        <v>56</v>
      </c>
      <c r="B481" s="14" t="s">
        <v>513</v>
      </c>
      <c r="C481" s="14" t="s">
        <v>57</v>
      </c>
      <c r="D481" s="72">
        <f>'В-25'!G660</f>
        <v>0</v>
      </c>
      <c r="E481" s="81"/>
    </row>
    <row r="482" spans="1:5" ht="29.25" hidden="1" customHeight="1" x14ac:dyDescent="0.3">
      <c r="A482" s="162" t="s">
        <v>374</v>
      </c>
      <c r="B482" s="14" t="s">
        <v>715</v>
      </c>
      <c r="C482" s="14" t="s">
        <v>50</v>
      </c>
      <c r="D482" s="72">
        <f>D483</f>
        <v>0</v>
      </c>
      <c r="E482" s="81"/>
    </row>
    <row r="483" spans="1:5" ht="75" hidden="1" x14ac:dyDescent="0.3">
      <c r="A483" s="143" t="s">
        <v>56</v>
      </c>
      <c r="B483" s="14" t="s">
        <v>715</v>
      </c>
      <c r="C483" s="14" t="s">
        <v>57</v>
      </c>
      <c r="D483" s="72">
        <f>'В-25'!G665</f>
        <v>0</v>
      </c>
      <c r="E483" s="81"/>
    </row>
    <row r="484" spans="1:5" ht="37.5" hidden="1" x14ac:dyDescent="0.3">
      <c r="A484" s="143" t="s">
        <v>787</v>
      </c>
      <c r="B484" s="14" t="s">
        <v>788</v>
      </c>
      <c r="C484" s="14" t="s">
        <v>50</v>
      </c>
      <c r="D484" s="72">
        <f>D485</f>
        <v>0</v>
      </c>
      <c r="E484" s="81"/>
    </row>
    <row r="485" spans="1:5" ht="37.5" hidden="1" x14ac:dyDescent="0.3">
      <c r="A485" s="143" t="s">
        <v>425</v>
      </c>
      <c r="B485" s="14" t="s">
        <v>788</v>
      </c>
      <c r="C485" s="14" t="s">
        <v>59</v>
      </c>
      <c r="D485" s="72">
        <f>'В-25'!G689</f>
        <v>0</v>
      </c>
      <c r="E485" s="81"/>
    </row>
    <row r="486" spans="1:5" ht="37.5" hidden="1" x14ac:dyDescent="0.3">
      <c r="A486" s="143" t="s">
        <v>787</v>
      </c>
      <c r="B486" s="14" t="s">
        <v>789</v>
      </c>
      <c r="C486" s="14" t="s">
        <v>50</v>
      </c>
      <c r="D486" s="72">
        <f>D487</f>
        <v>0</v>
      </c>
      <c r="E486" s="81"/>
    </row>
    <row r="487" spans="1:5" ht="37.5" hidden="1" x14ac:dyDescent="0.3">
      <c r="A487" s="143" t="s">
        <v>425</v>
      </c>
      <c r="B487" s="14" t="s">
        <v>789</v>
      </c>
      <c r="C487" s="14" t="s">
        <v>59</v>
      </c>
      <c r="D487" s="72">
        <f>'В-25'!G691</f>
        <v>0</v>
      </c>
      <c r="E487" s="81"/>
    </row>
    <row r="488" spans="1:5" ht="58.5" x14ac:dyDescent="0.35">
      <c r="A488" s="179" t="s">
        <v>6</v>
      </c>
      <c r="B488" s="63" t="s">
        <v>98</v>
      </c>
      <c r="C488" s="64" t="s">
        <v>50</v>
      </c>
      <c r="D488" s="197">
        <f>D489+D492</f>
        <v>205</v>
      </c>
      <c r="E488" s="81"/>
    </row>
    <row r="489" spans="1:5" ht="18.75" x14ac:dyDescent="0.3">
      <c r="A489" s="143" t="s">
        <v>62</v>
      </c>
      <c r="B489" s="14" t="s">
        <v>298</v>
      </c>
      <c r="C489" s="14" t="s">
        <v>50</v>
      </c>
      <c r="D489" s="72">
        <f>D490</f>
        <v>205</v>
      </c>
      <c r="E489" s="81"/>
    </row>
    <row r="490" spans="1:5" ht="37.5" x14ac:dyDescent="0.3">
      <c r="A490" s="143" t="s">
        <v>297</v>
      </c>
      <c r="B490" s="14" t="s">
        <v>299</v>
      </c>
      <c r="C490" s="14" t="s">
        <v>50</v>
      </c>
      <c r="D490" s="72">
        <f>D491+D504</f>
        <v>205</v>
      </c>
      <c r="E490" s="81"/>
    </row>
    <row r="491" spans="1:5" ht="37.5" x14ac:dyDescent="0.3">
      <c r="A491" s="143" t="s">
        <v>425</v>
      </c>
      <c r="B491" s="14" t="s">
        <v>299</v>
      </c>
      <c r="C491" s="14" t="s">
        <v>59</v>
      </c>
      <c r="D491" s="72">
        <f>'В-25'!G1143+'В-25'!G1148</f>
        <v>205</v>
      </c>
      <c r="E491" s="81"/>
    </row>
    <row r="492" spans="1:5" ht="18.75" hidden="1" x14ac:dyDescent="0.3">
      <c r="A492" s="143" t="s">
        <v>393</v>
      </c>
      <c r="B492" s="14" t="s">
        <v>395</v>
      </c>
      <c r="C492" s="14" t="s">
        <v>50</v>
      </c>
      <c r="D492" s="72">
        <f>D493</f>
        <v>0</v>
      </c>
      <c r="E492" s="81"/>
    </row>
    <row r="493" spans="1:5" ht="18.75" hidden="1" x14ac:dyDescent="0.3">
      <c r="A493" s="143" t="s">
        <v>394</v>
      </c>
      <c r="B493" s="14" t="s">
        <v>620</v>
      </c>
      <c r="C493" s="14" t="s">
        <v>50</v>
      </c>
      <c r="D493" s="72">
        <f>D494</f>
        <v>0</v>
      </c>
      <c r="E493" s="81"/>
    </row>
    <row r="494" spans="1:5" ht="55.5" hidden="1" customHeight="1" x14ac:dyDescent="0.3">
      <c r="A494" s="143" t="s">
        <v>618</v>
      </c>
      <c r="B494" s="13" t="s">
        <v>619</v>
      </c>
      <c r="C494" s="14" t="s">
        <v>50</v>
      </c>
      <c r="D494" s="72">
        <f>D495</f>
        <v>0</v>
      </c>
      <c r="E494" s="81"/>
    </row>
    <row r="495" spans="1:5" ht="36.75" hidden="1" customHeight="1" x14ac:dyDescent="0.3">
      <c r="A495" s="143" t="s">
        <v>425</v>
      </c>
      <c r="B495" s="13" t="s">
        <v>619</v>
      </c>
      <c r="C495" s="14" t="s">
        <v>59</v>
      </c>
      <c r="D495" s="72">
        <f>'В-25'!G1152</f>
        <v>0</v>
      </c>
      <c r="E495" s="81"/>
    </row>
    <row r="496" spans="1:5" ht="56.25" hidden="1" outlineLevel="1" x14ac:dyDescent="0.3">
      <c r="A496" s="180" t="s">
        <v>7</v>
      </c>
      <c r="B496" s="36" t="s">
        <v>27</v>
      </c>
      <c r="C496" s="14" t="s">
        <v>50</v>
      </c>
      <c r="D496" s="72">
        <f>D497</f>
        <v>0</v>
      </c>
      <c r="E496" s="81"/>
    </row>
    <row r="497" spans="1:5" ht="18.75" hidden="1" outlineLevel="1" x14ac:dyDescent="0.3">
      <c r="A497" s="143" t="s">
        <v>62</v>
      </c>
      <c r="B497" s="14" t="s">
        <v>241</v>
      </c>
      <c r="C497" s="14" t="s">
        <v>50</v>
      </c>
      <c r="D497" s="72">
        <f>D498</f>
        <v>0</v>
      </c>
      <c r="E497" s="81"/>
    </row>
    <row r="498" spans="1:5" ht="18.75" hidden="1" outlineLevel="1" x14ac:dyDescent="0.3">
      <c r="A498" s="143" t="s">
        <v>156</v>
      </c>
      <c r="B498" s="14" t="s">
        <v>242</v>
      </c>
      <c r="C498" s="14" t="s">
        <v>50</v>
      </c>
      <c r="D498" s="72">
        <f>D499+D500</f>
        <v>0</v>
      </c>
      <c r="E498" s="81"/>
    </row>
    <row r="499" spans="1:5" ht="75" hidden="1" outlineLevel="1" x14ac:dyDescent="0.3">
      <c r="A499" s="143" t="s">
        <v>56</v>
      </c>
      <c r="B499" s="14" t="s">
        <v>242</v>
      </c>
      <c r="C499" s="14" t="s">
        <v>57</v>
      </c>
      <c r="D499" s="72">
        <v>0</v>
      </c>
      <c r="E499" s="81"/>
    </row>
    <row r="500" spans="1:5" ht="18.75" hidden="1" outlineLevel="1" x14ac:dyDescent="0.3">
      <c r="A500" s="143" t="s">
        <v>58</v>
      </c>
      <c r="B500" s="14" t="s">
        <v>242</v>
      </c>
      <c r="C500" s="14" t="s">
        <v>59</v>
      </c>
      <c r="D500" s="72">
        <v>0</v>
      </c>
      <c r="E500" s="81"/>
    </row>
    <row r="501" spans="1:5" ht="19.5" hidden="1" outlineLevel="1" x14ac:dyDescent="0.35">
      <c r="A501" s="177" t="s">
        <v>409</v>
      </c>
      <c r="B501" s="64" t="s">
        <v>672</v>
      </c>
      <c r="C501" s="64" t="s">
        <v>50</v>
      </c>
      <c r="D501" s="197">
        <f>D502</f>
        <v>0</v>
      </c>
      <c r="E501" s="81"/>
    </row>
    <row r="502" spans="1:5" ht="18.75" hidden="1" outlineLevel="1" x14ac:dyDescent="0.3">
      <c r="A502" s="143" t="s">
        <v>673</v>
      </c>
      <c r="B502" s="14" t="s">
        <v>675</v>
      </c>
      <c r="C502" s="14" t="s">
        <v>50</v>
      </c>
      <c r="D502" s="72">
        <f>D503</f>
        <v>0</v>
      </c>
      <c r="E502" s="81"/>
    </row>
    <row r="503" spans="1:5" ht="23.25" hidden="1" customHeight="1" outlineLevel="1" x14ac:dyDescent="0.3">
      <c r="A503" s="143" t="s">
        <v>674</v>
      </c>
      <c r="B503" s="14" t="s">
        <v>676</v>
      </c>
      <c r="C503" s="14" t="s">
        <v>59</v>
      </c>
      <c r="D503" s="72">
        <f>'В-25'!G663</f>
        <v>0</v>
      </c>
      <c r="E503" s="81"/>
    </row>
    <row r="504" spans="1:5" ht="23.25" customHeight="1" outlineLevel="1" x14ac:dyDescent="0.3">
      <c r="A504" s="163" t="s">
        <v>60</v>
      </c>
      <c r="B504" s="14" t="s">
        <v>299</v>
      </c>
      <c r="C504" s="14" t="s">
        <v>61</v>
      </c>
      <c r="D504" s="72">
        <f>'В-25'!G1153</f>
        <v>0</v>
      </c>
      <c r="E504" s="81"/>
    </row>
    <row r="505" spans="1:5" ht="23.25" customHeight="1" outlineLevel="1" x14ac:dyDescent="0.35">
      <c r="A505" s="171" t="s">
        <v>409</v>
      </c>
      <c r="B505" s="63" t="s">
        <v>672</v>
      </c>
      <c r="C505" s="64" t="s">
        <v>50</v>
      </c>
      <c r="D505" s="197">
        <f>D506</f>
        <v>440</v>
      </c>
      <c r="E505" s="81"/>
    </row>
    <row r="506" spans="1:5" ht="30" customHeight="1" outlineLevel="1" x14ac:dyDescent="0.3">
      <c r="A506" s="143" t="s">
        <v>793</v>
      </c>
      <c r="B506" s="14" t="s">
        <v>792</v>
      </c>
      <c r="C506" s="14" t="s">
        <v>50</v>
      </c>
      <c r="D506" s="72">
        <f>D507</f>
        <v>440</v>
      </c>
      <c r="E506" s="81"/>
    </row>
    <row r="507" spans="1:5" ht="40.5" customHeight="1" outlineLevel="1" x14ac:dyDescent="0.3">
      <c r="A507" s="143" t="s">
        <v>425</v>
      </c>
      <c r="B507" s="14" t="s">
        <v>792</v>
      </c>
      <c r="C507" s="14" t="s">
        <v>59</v>
      </c>
      <c r="D507" s="72">
        <f>'В-25'!G667</f>
        <v>440</v>
      </c>
      <c r="E507" s="81"/>
    </row>
    <row r="508" spans="1:5" ht="40.5" hidden="1" customHeight="1" outlineLevel="1" x14ac:dyDescent="0.3">
      <c r="A508" s="143" t="s">
        <v>816</v>
      </c>
      <c r="B508" s="14" t="s">
        <v>817</v>
      </c>
      <c r="C508" s="14" t="s">
        <v>50</v>
      </c>
      <c r="D508" s="72">
        <f>D509</f>
        <v>0</v>
      </c>
      <c r="E508" s="81"/>
    </row>
    <row r="509" spans="1:5" ht="40.5" hidden="1" customHeight="1" outlineLevel="1" x14ac:dyDescent="0.3">
      <c r="A509" s="143" t="s">
        <v>290</v>
      </c>
      <c r="B509" s="14" t="s">
        <v>817</v>
      </c>
      <c r="C509" s="14" t="s">
        <v>291</v>
      </c>
      <c r="D509" s="72">
        <f>'В-25'!G669</f>
        <v>0</v>
      </c>
      <c r="E509" s="81"/>
    </row>
    <row r="510" spans="1:5" ht="40.5" hidden="1" customHeight="1" outlineLevel="1" x14ac:dyDescent="0.3">
      <c r="A510" s="143" t="s">
        <v>816</v>
      </c>
      <c r="B510" s="14" t="s">
        <v>820</v>
      </c>
      <c r="C510" s="14" t="s">
        <v>50</v>
      </c>
      <c r="D510" s="72">
        <f>D511</f>
        <v>0</v>
      </c>
      <c r="E510" s="81"/>
    </row>
    <row r="511" spans="1:5" ht="40.5" hidden="1" customHeight="1" outlineLevel="1" x14ac:dyDescent="0.3">
      <c r="A511" s="143" t="s">
        <v>290</v>
      </c>
      <c r="B511" s="14" t="s">
        <v>820</v>
      </c>
      <c r="C511" s="14" t="s">
        <v>291</v>
      </c>
      <c r="D511" s="72">
        <f>'В-25'!G671</f>
        <v>0</v>
      </c>
      <c r="E511" s="81"/>
    </row>
    <row r="512" spans="1:5" ht="39" customHeight="1" collapsed="1" x14ac:dyDescent="0.3">
      <c r="A512" s="169" t="s">
        <v>161</v>
      </c>
      <c r="B512" s="21" t="s">
        <v>99</v>
      </c>
      <c r="C512" s="9" t="s">
        <v>50</v>
      </c>
      <c r="D512" s="196">
        <f>D513+D560+D574+D603+D795</f>
        <v>107628.7</v>
      </c>
      <c r="E512" s="81"/>
    </row>
    <row r="513" spans="1:6" ht="39" x14ac:dyDescent="0.35">
      <c r="A513" s="161" t="s">
        <v>8</v>
      </c>
      <c r="B513" s="63" t="s">
        <v>100</v>
      </c>
      <c r="C513" s="64" t="s">
        <v>50</v>
      </c>
      <c r="D513" s="197">
        <f>D514+D525+D548+D528+D551+D523+D542+D547+D530+D532+D534+D536</f>
        <v>74407</v>
      </c>
      <c r="E513" s="81"/>
      <c r="F513" s="223"/>
    </row>
    <row r="514" spans="1:6" ht="18.75" x14ac:dyDescent="0.3">
      <c r="A514" s="143" t="s">
        <v>248</v>
      </c>
      <c r="B514" s="14" t="s">
        <v>938</v>
      </c>
      <c r="C514" s="14" t="s">
        <v>50</v>
      </c>
      <c r="D514" s="72">
        <f>D515+D521+D517+D519</f>
        <v>15275</v>
      </c>
      <c r="E514" s="81"/>
      <c r="F514" s="223"/>
    </row>
    <row r="515" spans="1:6" ht="18.75" x14ac:dyDescent="0.3">
      <c r="A515" s="143" t="s">
        <v>942</v>
      </c>
      <c r="B515" s="14" t="s">
        <v>939</v>
      </c>
      <c r="C515" s="14" t="s">
        <v>50</v>
      </c>
      <c r="D515" s="72">
        <f>D516</f>
        <v>15000</v>
      </c>
      <c r="E515" s="81"/>
    </row>
    <row r="516" spans="1:6" ht="37.5" x14ac:dyDescent="0.3">
      <c r="A516" s="143" t="s">
        <v>425</v>
      </c>
      <c r="B516" s="14" t="s">
        <v>939</v>
      </c>
      <c r="C516" s="14" t="s">
        <v>59</v>
      </c>
      <c r="D516" s="72">
        <f>'В-25'!G727</f>
        <v>15000</v>
      </c>
      <c r="E516" s="81"/>
    </row>
    <row r="517" spans="1:6" ht="37.5" x14ac:dyDescent="0.3">
      <c r="A517" s="143" t="s">
        <v>943</v>
      </c>
      <c r="B517" s="14" t="s">
        <v>941</v>
      </c>
      <c r="C517" s="14" t="s">
        <v>50</v>
      </c>
      <c r="D517" s="72">
        <f>D518</f>
        <v>275</v>
      </c>
      <c r="E517" s="81"/>
    </row>
    <row r="518" spans="1:6" ht="37.5" x14ac:dyDescent="0.3">
      <c r="A518" s="143" t="s">
        <v>425</v>
      </c>
      <c r="B518" s="14" t="s">
        <v>941</v>
      </c>
      <c r="C518" s="14" t="s">
        <v>59</v>
      </c>
      <c r="D518" s="72">
        <f>'В-25'!G731</f>
        <v>275</v>
      </c>
      <c r="E518" s="81"/>
    </row>
    <row r="519" spans="1:6" ht="37.5" hidden="1" x14ac:dyDescent="0.3">
      <c r="A519" s="143" t="s">
        <v>944</v>
      </c>
      <c r="B519" s="14" t="s">
        <v>940</v>
      </c>
      <c r="C519" s="14" t="s">
        <v>50</v>
      </c>
      <c r="D519" s="72">
        <f>D520</f>
        <v>0</v>
      </c>
      <c r="E519" s="81"/>
    </row>
    <row r="520" spans="1:6" ht="37.5" hidden="1" x14ac:dyDescent="0.3">
      <c r="A520" s="143" t="s">
        <v>425</v>
      </c>
      <c r="B520" s="14" t="s">
        <v>940</v>
      </c>
      <c r="C520" s="14" t="s">
        <v>59</v>
      </c>
      <c r="D520" s="72">
        <f>'В-25'!G733</f>
        <v>0</v>
      </c>
      <c r="E520" s="81"/>
    </row>
    <row r="521" spans="1:6" ht="18.75" hidden="1" x14ac:dyDescent="0.3">
      <c r="A521" s="143" t="s">
        <v>64</v>
      </c>
      <c r="B521" s="14" t="s">
        <v>785</v>
      </c>
      <c r="C521" s="14" t="s">
        <v>50</v>
      </c>
      <c r="D521" s="72">
        <f>D522</f>
        <v>0</v>
      </c>
      <c r="E521" s="81"/>
    </row>
    <row r="522" spans="1:6" ht="37.5" hidden="1" x14ac:dyDescent="0.3">
      <c r="A522" s="143" t="s">
        <v>425</v>
      </c>
      <c r="B522" s="14" t="s">
        <v>785</v>
      </c>
      <c r="C522" s="14" t="s">
        <v>59</v>
      </c>
      <c r="D522" s="72">
        <f>'В-25'!G729</f>
        <v>0</v>
      </c>
      <c r="E522" s="81"/>
    </row>
    <row r="523" spans="1:6" ht="48" hidden="1" customHeight="1" x14ac:dyDescent="0.3">
      <c r="A523" s="164" t="s">
        <v>495</v>
      </c>
      <c r="B523" s="15" t="s">
        <v>496</v>
      </c>
      <c r="C523" s="14" t="s">
        <v>50</v>
      </c>
      <c r="D523" s="72">
        <f>D524</f>
        <v>0</v>
      </c>
      <c r="E523" s="81"/>
    </row>
    <row r="524" spans="1:6" ht="34.5" hidden="1" customHeight="1" x14ac:dyDescent="0.3">
      <c r="A524" s="143" t="s">
        <v>60</v>
      </c>
      <c r="B524" s="15" t="s">
        <v>474</v>
      </c>
      <c r="C524" s="14" t="s">
        <v>61</v>
      </c>
      <c r="D524" s="72">
        <f>'В-25'!G566</f>
        <v>0</v>
      </c>
      <c r="E524" s="81"/>
    </row>
    <row r="525" spans="1:6" ht="56.25" x14ac:dyDescent="0.3">
      <c r="A525" s="143" t="s">
        <v>249</v>
      </c>
      <c r="B525" s="14" t="s">
        <v>855</v>
      </c>
      <c r="C525" s="14" t="s">
        <v>50</v>
      </c>
      <c r="D525" s="72">
        <f>D526+D540+D544</f>
        <v>54383</v>
      </c>
      <c r="E525" s="81"/>
    </row>
    <row r="526" spans="1:6" ht="37.5" x14ac:dyDescent="0.3">
      <c r="A526" s="143" t="s">
        <v>250</v>
      </c>
      <c r="B526" s="266" t="s">
        <v>1190</v>
      </c>
      <c r="C526" s="14" t="s">
        <v>50</v>
      </c>
      <c r="D526" s="72">
        <f>D527</f>
        <v>2506</v>
      </c>
      <c r="E526" s="81"/>
    </row>
    <row r="527" spans="1:6" ht="37.5" x14ac:dyDescent="0.3">
      <c r="A527" s="143" t="s">
        <v>425</v>
      </c>
      <c r="B527" s="266" t="s">
        <v>1190</v>
      </c>
      <c r="C527" s="14" t="s">
        <v>59</v>
      </c>
      <c r="D527" s="72">
        <f>'В-25'!G736</f>
        <v>2506</v>
      </c>
      <c r="E527" s="81"/>
    </row>
    <row r="528" spans="1:6" ht="37.5" x14ac:dyDescent="0.3">
      <c r="A528" s="143" t="s">
        <v>250</v>
      </c>
      <c r="B528" s="266" t="s">
        <v>1191</v>
      </c>
      <c r="C528" s="14" t="s">
        <v>50</v>
      </c>
      <c r="D528" s="72">
        <f>D529</f>
        <v>24</v>
      </c>
      <c r="E528" s="81"/>
    </row>
    <row r="529" spans="1:5" ht="37.5" x14ac:dyDescent="0.3">
      <c r="A529" s="143" t="s">
        <v>425</v>
      </c>
      <c r="B529" s="266" t="s">
        <v>1191</v>
      </c>
      <c r="C529" s="14" t="s">
        <v>59</v>
      </c>
      <c r="D529" s="72">
        <f>'В-25'!G738</f>
        <v>24</v>
      </c>
      <c r="E529" s="81"/>
    </row>
    <row r="530" spans="1:5" ht="56.25" hidden="1" x14ac:dyDescent="0.3">
      <c r="A530" s="232" t="s">
        <v>957</v>
      </c>
      <c r="B530" s="266" t="s">
        <v>955</v>
      </c>
      <c r="C530" s="14" t="s">
        <v>50</v>
      </c>
      <c r="D530" s="72">
        <f>D531</f>
        <v>0</v>
      </c>
      <c r="E530" s="81"/>
    </row>
    <row r="531" spans="1:5" ht="37.5" hidden="1" x14ac:dyDescent="0.3">
      <c r="A531" s="143" t="s">
        <v>425</v>
      </c>
      <c r="B531" s="266" t="s">
        <v>955</v>
      </c>
      <c r="C531" s="14" t="s">
        <v>59</v>
      </c>
      <c r="D531" s="72">
        <f>'В-25'!G740</f>
        <v>0</v>
      </c>
      <c r="E531" s="81"/>
    </row>
    <row r="532" spans="1:5" ht="56.25" hidden="1" x14ac:dyDescent="0.3">
      <c r="A532" s="232" t="s">
        <v>957</v>
      </c>
      <c r="B532" s="266" t="s">
        <v>956</v>
      </c>
      <c r="C532" s="14" t="s">
        <v>50</v>
      </c>
      <c r="D532" s="72">
        <f>D533</f>
        <v>0</v>
      </c>
      <c r="E532" s="81"/>
    </row>
    <row r="533" spans="1:5" ht="37.5" hidden="1" x14ac:dyDescent="0.3">
      <c r="A533" s="143" t="s">
        <v>425</v>
      </c>
      <c r="B533" s="266" t="s">
        <v>956</v>
      </c>
      <c r="C533" s="14" t="s">
        <v>59</v>
      </c>
      <c r="D533" s="72">
        <f>'В-25'!G742</f>
        <v>0</v>
      </c>
      <c r="E533" s="81"/>
    </row>
    <row r="534" spans="1:5" ht="56.25" x14ac:dyDescent="0.3">
      <c r="A534" s="278" t="s">
        <v>1152</v>
      </c>
      <c r="B534" s="113" t="s">
        <v>1177</v>
      </c>
      <c r="C534" s="14" t="s">
        <v>50</v>
      </c>
      <c r="D534" s="72">
        <f>D535</f>
        <v>4158</v>
      </c>
      <c r="E534" s="81"/>
    </row>
    <row r="535" spans="1:5" ht="37.5" x14ac:dyDescent="0.3">
      <c r="A535" s="143" t="s">
        <v>425</v>
      </c>
      <c r="B535" s="113" t="s">
        <v>1177</v>
      </c>
      <c r="C535" s="14" t="s">
        <v>59</v>
      </c>
      <c r="D535" s="72">
        <f>'В-25'!G744</f>
        <v>4158</v>
      </c>
      <c r="E535" s="81"/>
    </row>
    <row r="536" spans="1:5" ht="56.25" x14ac:dyDescent="0.3">
      <c r="A536" s="278" t="s">
        <v>1152</v>
      </c>
      <c r="B536" s="266" t="s">
        <v>1178</v>
      </c>
      <c r="C536" s="14" t="s">
        <v>50</v>
      </c>
      <c r="D536" s="72">
        <f>D537</f>
        <v>42</v>
      </c>
      <c r="E536" s="81"/>
    </row>
    <row r="537" spans="1:5" ht="37.5" x14ac:dyDescent="0.3">
      <c r="A537" s="143" t="s">
        <v>425</v>
      </c>
      <c r="B537" s="266" t="s">
        <v>1178</v>
      </c>
      <c r="C537" s="14" t="s">
        <v>59</v>
      </c>
      <c r="D537" s="72">
        <f>'В-25'!G746</f>
        <v>42</v>
      </c>
      <c r="E537" s="81"/>
    </row>
    <row r="538" spans="1:5" ht="18.75" x14ac:dyDescent="0.3">
      <c r="A538" s="165" t="s">
        <v>933</v>
      </c>
      <c r="B538" s="266" t="s">
        <v>934</v>
      </c>
      <c r="C538" s="14" t="s">
        <v>50</v>
      </c>
      <c r="D538" s="72">
        <f>D539</f>
        <v>52402</v>
      </c>
      <c r="E538" s="81"/>
    </row>
    <row r="539" spans="1:5" ht="18.75" x14ac:dyDescent="0.3">
      <c r="A539" s="165" t="s">
        <v>813</v>
      </c>
      <c r="B539" s="266" t="s">
        <v>935</v>
      </c>
      <c r="C539" s="14" t="s">
        <v>50</v>
      </c>
      <c r="D539" s="72">
        <f>D540+D542</f>
        <v>52402</v>
      </c>
      <c r="E539" s="81"/>
    </row>
    <row r="540" spans="1:5" ht="56.25" x14ac:dyDescent="0.3">
      <c r="A540" s="165" t="s">
        <v>932</v>
      </c>
      <c r="B540" s="266" t="s">
        <v>1136</v>
      </c>
      <c r="C540" s="14" t="s">
        <v>50</v>
      </c>
      <c r="D540" s="72">
        <f>D541</f>
        <v>51877</v>
      </c>
      <c r="E540" s="81"/>
    </row>
    <row r="541" spans="1:5" ht="37.5" x14ac:dyDescent="0.3">
      <c r="A541" s="143" t="s">
        <v>425</v>
      </c>
      <c r="B541" s="266" t="s">
        <v>1136</v>
      </c>
      <c r="C541" s="14" t="s">
        <v>59</v>
      </c>
      <c r="D541" s="72">
        <f>'В-25'!G750</f>
        <v>51877</v>
      </c>
      <c r="E541" s="81"/>
    </row>
    <row r="542" spans="1:5" ht="56.25" x14ac:dyDescent="0.3">
      <c r="A542" s="165" t="s">
        <v>932</v>
      </c>
      <c r="B542" s="113" t="s">
        <v>1137</v>
      </c>
      <c r="C542" s="14" t="s">
        <v>50</v>
      </c>
      <c r="D542" s="72">
        <f>D543</f>
        <v>525</v>
      </c>
      <c r="E542" s="81"/>
    </row>
    <row r="543" spans="1:5" ht="37.5" x14ac:dyDescent="0.3">
      <c r="A543" s="143" t="s">
        <v>425</v>
      </c>
      <c r="B543" s="113" t="s">
        <v>1137</v>
      </c>
      <c r="C543" s="14" t="s">
        <v>59</v>
      </c>
      <c r="D543" s="72">
        <f>'В-25'!G752</f>
        <v>525</v>
      </c>
      <c r="E543" s="81"/>
    </row>
    <row r="544" spans="1:5" ht="37.5" hidden="1" x14ac:dyDescent="0.3">
      <c r="A544" s="143" t="s">
        <v>686</v>
      </c>
      <c r="B544" s="14" t="s">
        <v>897</v>
      </c>
      <c r="C544" s="14" t="s">
        <v>50</v>
      </c>
      <c r="D544" s="72">
        <f>D545</f>
        <v>0</v>
      </c>
      <c r="E544" s="81"/>
    </row>
    <row r="545" spans="1:5" ht="37.5" hidden="1" x14ac:dyDescent="0.3">
      <c r="A545" s="143" t="s">
        <v>425</v>
      </c>
      <c r="B545" s="14" t="s">
        <v>897</v>
      </c>
      <c r="C545" s="14" t="s">
        <v>59</v>
      </c>
      <c r="D545" s="72">
        <f>'В-25'!G754</f>
        <v>0</v>
      </c>
      <c r="E545" s="81"/>
    </row>
    <row r="546" spans="1:5" ht="37.5" hidden="1" x14ac:dyDescent="0.3">
      <c r="A546" s="143" t="s">
        <v>686</v>
      </c>
      <c r="B546" s="14" t="s">
        <v>896</v>
      </c>
      <c r="C546" s="14" t="s">
        <v>50</v>
      </c>
      <c r="D546" s="72">
        <f>D547</f>
        <v>0</v>
      </c>
      <c r="E546" s="81"/>
    </row>
    <row r="547" spans="1:5" ht="37.5" hidden="1" x14ac:dyDescent="0.3">
      <c r="A547" s="143" t="s">
        <v>425</v>
      </c>
      <c r="B547" s="14" t="s">
        <v>896</v>
      </c>
      <c r="C547" s="14" t="s">
        <v>59</v>
      </c>
      <c r="D547" s="72">
        <f>'В-25'!G756</f>
        <v>0</v>
      </c>
      <c r="E547" s="81"/>
    </row>
    <row r="548" spans="1:5" ht="18.75" hidden="1" x14ac:dyDescent="0.3">
      <c r="A548" s="143" t="s">
        <v>68</v>
      </c>
      <c r="B548" s="14" t="s">
        <v>370</v>
      </c>
      <c r="C548" s="14" t="s">
        <v>50</v>
      </c>
      <c r="D548" s="72">
        <f>D549</f>
        <v>0</v>
      </c>
      <c r="E548" s="81"/>
    </row>
    <row r="549" spans="1:5" ht="56.25" hidden="1" x14ac:dyDescent="0.3">
      <c r="A549" s="143" t="s">
        <v>369</v>
      </c>
      <c r="B549" s="14" t="s">
        <v>371</v>
      </c>
      <c r="C549" s="14" t="s">
        <v>50</v>
      </c>
      <c r="D549" s="72">
        <f>D550</f>
        <v>0</v>
      </c>
      <c r="E549" s="81"/>
    </row>
    <row r="550" spans="1:5" ht="37.5" hidden="1" x14ac:dyDescent="0.3">
      <c r="A550" s="143" t="s">
        <v>425</v>
      </c>
      <c r="B550" s="14" t="s">
        <v>371</v>
      </c>
      <c r="C550" s="14" t="s">
        <v>59</v>
      </c>
      <c r="D550" s="72">
        <f>'В-25'!G759</f>
        <v>0</v>
      </c>
      <c r="E550" s="81"/>
    </row>
    <row r="551" spans="1:5" ht="37.5" hidden="1" x14ac:dyDescent="0.3">
      <c r="A551" s="143" t="s">
        <v>462</v>
      </c>
      <c r="B551" s="14" t="s">
        <v>463</v>
      </c>
      <c r="C551" s="14" t="s">
        <v>50</v>
      </c>
      <c r="D551" s="72">
        <f>D555+D552</f>
        <v>0</v>
      </c>
      <c r="E551" s="81"/>
    </row>
    <row r="552" spans="1:5" ht="18.75" hidden="1" x14ac:dyDescent="0.3">
      <c r="A552" s="181" t="s">
        <v>365</v>
      </c>
      <c r="B552" s="14" t="s">
        <v>367</v>
      </c>
      <c r="C552" s="14" t="s">
        <v>50</v>
      </c>
      <c r="D552" s="72">
        <f>D553+D558</f>
        <v>0</v>
      </c>
      <c r="E552" s="81"/>
    </row>
    <row r="553" spans="1:5" ht="37.5" hidden="1" x14ac:dyDescent="0.3">
      <c r="A553" s="181" t="s">
        <v>366</v>
      </c>
      <c r="B553" s="14" t="s">
        <v>516</v>
      </c>
      <c r="C553" s="14" t="s">
        <v>50</v>
      </c>
      <c r="D553" s="72">
        <f>D554</f>
        <v>0</v>
      </c>
      <c r="E553" s="81"/>
    </row>
    <row r="554" spans="1:5" ht="37.5" hidden="1" x14ac:dyDescent="0.3">
      <c r="A554" s="143" t="s">
        <v>425</v>
      </c>
      <c r="B554" s="14" t="s">
        <v>516</v>
      </c>
      <c r="C554" s="14" t="s">
        <v>59</v>
      </c>
      <c r="D554" s="72">
        <f>'В-25'!G763</f>
        <v>0</v>
      </c>
      <c r="E554" s="81"/>
    </row>
    <row r="555" spans="1:5" ht="37.5" hidden="1" x14ac:dyDescent="0.3">
      <c r="A555" s="143" t="s">
        <v>461</v>
      </c>
      <c r="B555" s="14" t="s">
        <v>464</v>
      </c>
      <c r="C555" s="14" t="s">
        <v>50</v>
      </c>
      <c r="D555" s="72">
        <f>D556</f>
        <v>0</v>
      </c>
      <c r="E555" s="81"/>
    </row>
    <row r="556" spans="1:5" ht="56.25" hidden="1" x14ac:dyDescent="0.3">
      <c r="A556" s="143" t="s">
        <v>369</v>
      </c>
      <c r="B556" s="14" t="s">
        <v>465</v>
      </c>
      <c r="C556" s="14" t="s">
        <v>50</v>
      </c>
      <c r="D556" s="72">
        <f>D557</f>
        <v>0</v>
      </c>
      <c r="E556" s="81"/>
    </row>
    <row r="557" spans="1:5" ht="37.5" hidden="1" x14ac:dyDescent="0.3">
      <c r="A557" s="143" t="s">
        <v>425</v>
      </c>
      <c r="B557" s="14" t="s">
        <v>465</v>
      </c>
      <c r="C557" s="14" t="s">
        <v>59</v>
      </c>
      <c r="D557" s="72">
        <f>'[2]В-21'!G500</f>
        <v>0</v>
      </c>
      <c r="E557" s="81"/>
    </row>
    <row r="558" spans="1:5" ht="56.25" hidden="1" x14ac:dyDescent="0.3">
      <c r="A558" s="143" t="s">
        <v>616</v>
      </c>
      <c r="B558" s="44" t="s">
        <v>615</v>
      </c>
      <c r="C558" s="44" t="s">
        <v>50</v>
      </c>
      <c r="D558" s="72">
        <f>D559</f>
        <v>0</v>
      </c>
      <c r="E558" s="81"/>
    </row>
    <row r="559" spans="1:5" ht="18.75" hidden="1" x14ac:dyDescent="0.3">
      <c r="A559" s="143" t="s">
        <v>58</v>
      </c>
      <c r="B559" s="44" t="s">
        <v>615</v>
      </c>
      <c r="C559" s="44" t="s">
        <v>59</v>
      </c>
      <c r="D559" s="72">
        <f>'В-25'!G791</f>
        <v>0</v>
      </c>
      <c r="E559" s="81"/>
    </row>
    <row r="560" spans="1:5" ht="57.75" customHeight="1" x14ac:dyDescent="0.35">
      <c r="A560" s="161" t="s">
        <v>9</v>
      </c>
      <c r="B560" s="63" t="s">
        <v>101</v>
      </c>
      <c r="C560" s="64" t="s">
        <v>50</v>
      </c>
      <c r="D560" s="197">
        <f>D561+D572+D570</f>
        <v>750</v>
      </c>
      <c r="E560" s="81"/>
    </row>
    <row r="561" spans="1:6" ht="18.75" x14ac:dyDescent="0.3">
      <c r="A561" s="143" t="s">
        <v>62</v>
      </c>
      <c r="B561" s="14" t="s">
        <v>268</v>
      </c>
      <c r="C561" s="14" t="s">
        <v>50</v>
      </c>
      <c r="D561" s="72">
        <f>D562+D564+D566+D568</f>
        <v>750</v>
      </c>
      <c r="E561" s="81"/>
    </row>
    <row r="562" spans="1:6" ht="37.5" x14ac:dyDescent="0.3">
      <c r="A562" s="143" t="s">
        <v>276</v>
      </c>
      <c r="B562" s="14" t="s">
        <v>277</v>
      </c>
      <c r="C562" s="14" t="s">
        <v>50</v>
      </c>
      <c r="D562" s="72">
        <f>D563</f>
        <v>550</v>
      </c>
      <c r="E562" s="81"/>
    </row>
    <row r="563" spans="1:6" ht="37.5" x14ac:dyDescent="0.3">
      <c r="A563" s="143" t="s">
        <v>425</v>
      </c>
      <c r="B563" s="14" t="s">
        <v>277</v>
      </c>
      <c r="C563" s="14" t="s">
        <v>59</v>
      </c>
      <c r="D563" s="72">
        <f>'В-25'!G915+'В-25'!G937</f>
        <v>550</v>
      </c>
      <c r="E563" s="81"/>
    </row>
    <row r="564" spans="1:6" ht="75" hidden="1" x14ac:dyDescent="0.3">
      <c r="A564" s="143" t="s">
        <v>278</v>
      </c>
      <c r="B564" s="14" t="s">
        <v>279</v>
      </c>
      <c r="C564" s="14" t="s">
        <v>50</v>
      </c>
      <c r="D564" s="72">
        <f>D565</f>
        <v>0</v>
      </c>
      <c r="E564" s="81"/>
    </row>
    <row r="565" spans="1:6" ht="37.5" hidden="1" x14ac:dyDescent="0.3">
      <c r="A565" s="143" t="s">
        <v>425</v>
      </c>
      <c r="B565" s="14" t="s">
        <v>279</v>
      </c>
      <c r="C565" s="14" t="s">
        <v>59</v>
      </c>
      <c r="D565" s="72">
        <f>'[2]В-21'!G568</f>
        <v>0</v>
      </c>
      <c r="E565" s="81"/>
    </row>
    <row r="566" spans="1:6" ht="18.75" hidden="1" x14ac:dyDescent="0.3">
      <c r="A566" s="143" t="s">
        <v>655</v>
      </c>
      <c r="B566" s="14" t="s">
        <v>654</v>
      </c>
      <c r="C566" s="14" t="s">
        <v>50</v>
      </c>
      <c r="D566" s="72">
        <f>D567</f>
        <v>0</v>
      </c>
      <c r="E566" s="81"/>
    </row>
    <row r="567" spans="1:6" ht="18.75" hidden="1" x14ac:dyDescent="0.3">
      <c r="A567" s="143" t="s">
        <v>58</v>
      </c>
      <c r="B567" s="14" t="s">
        <v>654</v>
      </c>
      <c r="C567" s="14" t="s">
        <v>59</v>
      </c>
      <c r="D567" s="72">
        <f>'В-25'!G939</f>
        <v>0</v>
      </c>
      <c r="E567" s="81"/>
    </row>
    <row r="568" spans="1:6" ht="56.25" x14ac:dyDescent="0.3">
      <c r="A568" s="143" t="s">
        <v>945</v>
      </c>
      <c r="B568" s="111" t="s">
        <v>946</v>
      </c>
      <c r="C568" s="111" t="s">
        <v>50</v>
      </c>
      <c r="D568" s="72">
        <f>D569</f>
        <v>200</v>
      </c>
      <c r="E568" s="81"/>
    </row>
    <row r="569" spans="1:6" ht="18.75" x14ac:dyDescent="0.3">
      <c r="A569" s="143" t="s">
        <v>58</v>
      </c>
      <c r="B569" s="111" t="s">
        <v>946</v>
      </c>
      <c r="C569" s="111" t="s">
        <v>59</v>
      </c>
      <c r="D569" s="72">
        <f>'В-25'!G955</f>
        <v>200</v>
      </c>
      <c r="E569" s="81"/>
    </row>
    <row r="570" spans="1:6" ht="57" hidden="1" customHeight="1" x14ac:dyDescent="0.3">
      <c r="A570" s="164" t="s">
        <v>495</v>
      </c>
      <c r="B570" s="15" t="s">
        <v>494</v>
      </c>
      <c r="C570" s="14" t="s">
        <v>50</v>
      </c>
      <c r="D570" s="72">
        <f>D571</f>
        <v>0</v>
      </c>
      <c r="E570" s="81"/>
    </row>
    <row r="571" spans="1:6" ht="21" hidden="1" customHeight="1" x14ac:dyDescent="0.3">
      <c r="A571" s="143" t="s">
        <v>60</v>
      </c>
      <c r="B571" s="15" t="s">
        <v>494</v>
      </c>
      <c r="C571" s="14" t="s">
        <v>61</v>
      </c>
      <c r="D571" s="72">
        <f>'В-25'!G569</f>
        <v>0</v>
      </c>
      <c r="E571" s="81"/>
    </row>
    <row r="572" spans="1:6" ht="21" hidden="1" customHeight="1" x14ac:dyDescent="0.3">
      <c r="A572" s="182" t="s">
        <v>717</v>
      </c>
      <c r="B572" s="14" t="s">
        <v>786</v>
      </c>
      <c r="C572" s="111" t="s">
        <v>50</v>
      </c>
      <c r="D572" s="72">
        <f>D573</f>
        <v>0</v>
      </c>
      <c r="E572" s="81"/>
    </row>
    <row r="573" spans="1:6" ht="45.75" hidden="1" customHeight="1" x14ac:dyDescent="0.3">
      <c r="A573" s="143" t="s">
        <v>290</v>
      </c>
      <c r="B573" s="14" t="s">
        <v>786</v>
      </c>
      <c r="C573" s="111" t="s">
        <v>291</v>
      </c>
      <c r="D573" s="72">
        <f>'В-25'!G941</f>
        <v>0</v>
      </c>
      <c r="E573" s="81"/>
    </row>
    <row r="574" spans="1:6" ht="39" x14ac:dyDescent="0.35">
      <c r="A574" s="167" t="s">
        <v>10</v>
      </c>
      <c r="B574" s="63" t="s">
        <v>28</v>
      </c>
      <c r="C574" s="64" t="s">
        <v>50</v>
      </c>
      <c r="D574" s="197">
        <f>D575+D595+D593+D598+D602+D585+D600</f>
        <v>32371.5</v>
      </c>
      <c r="E574" s="81"/>
    </row>
    <row r="575" spans="1:6" ht="18.75" x14ac:dyDescent="0.3">
      <c r="A575" s="143" t="s">
        <v>62</v>
      </c>
      <c r="B575" s="14" t="s">
        <v>282</v>
      </c>
      <c r="C575" s="14" t="s">
        <v>50</v>
      </c>
      <c r="D575" s="72">
        <f>D576+D578+D582+D592+D590+D588</f>
        <v>32371.5</v>
      </c>
      <c r="E575" s="81"/>
      <c r="F575" s="88"/>
    </row>
    <row r="576" spans="1:6" ht="37.5" x14ac:dyDescent="0.3">
      <c r="A576" s="143" t="s">
        <v>281</v>
      </c>
      <c r="B576" s="14" t="s">
        <v>283</v>
      </c>
      <c r="C576" s="14" t="s">
        <v>50</v>
      </c>
      <c r="D576" s="72">
        <f>D577</f>
        <v>420</v>
      </c>
      <c r="E576" s="81"/>
    </row>
    <row r="577" spans="1:5" ht="37.5" x14ac:dyDescent="0.3">
      <c r="A577" s="143" t="s">
        <v>425</v>
      </c>
      <c r="B577" s="14" t="s">
        <v>283</v>
      </c>
      <c r="C577" s="14" t="s">
        <v>59</v>
      </c>
      <c r="D577" s="72">
        <f>'В-25'!G945</f>
        <v>420</v>
      </c>
      <c r="E577" s="81"/>
    </row>
    <row r="578" spans="1:5" ht="18.75" x14ac:dyDescent="0.3">
      <c r="A578" s="143" t="s">
        <v>289</v>
      </c>
      <c r="B578" s="14" t="s">
        <v>292</v>
      </c>
      <c r="C578" s="14" t="s">
        <v>50</v>
      </c>
      <c r="D578" s="72">
        <f>D579+D580+D581</f>
        <v>31951.5</v>
      </c>
      <c r="E578" s="81"/>
    </row>
    <row r="579" spans="1:5" ht="37.5" x14ac:dyDescent="0.3">
      <c r="A579" s="143" t="s">
        <v>425</v>
      </c>
      <c r="B579" s="14" t="s">
        <v>292</v>
      </c>
      <c r="C579" s="14" t="s">
        <v>59</v>
      </c>
      <c r="D579" s="72">
        <f>'В-25'!G1000+'В-25'!G947</f>
        <v>31951.5</v>
      </c>
      <c r="E579" s="81"/>
    </row>
    <row r="580" spans="1:5" ht="37.5" hidden="1" outlineLevel="1" x14ac:dyDescent="0.3">
      <c r="A580" s="143" t="s">
        <v>290</v>
      </c>
      <c r="B580" s="14" t="s">
        <v>292</v>
      </c>
      <c r="C580" s="14" t="s">
        <v>291</v>
      </c>
      <c r="D580" s="72">
        <f>'[2]В-21'!G597</f>
        <v>0</v>
      </c>
      <c r="E580" s="81"/>
    </row>
    <row r="581" spans="1:5" ht="18.75" hidden="1" outlineLevel="1" x14ac:dyDescent="0.3">
      <c r="A581" s="143" t="s">
        <v>60</v>
      </c>
      <c r="B581" s="14" t="s">
        <v>292</v>
      </c>
      <c r="C581" s="14" t="s">
        <v>61</v>
      </c>
      <c r="D581" s="72">
        <f>'В-25'!G1001</f>
        <v>0</v>
      </c>
      <c r="E581" s="81"/>
    </row>
    <row r="582" spans="1:5" ht="18.75" hidden="1" x14ac:dyDescent="0.3">
      <c r="A582" s="183" t="s">
        <v>584</v>
      </c>
      <c r="B582" s="14" t="s">
        <v>579</v>
      </c>
      <c r="C582" s="14" t="s">
        <v>50</v>
      </c>
      <c r="D582" s="72">
        <f>D583+D584</f>
        <v>0</v>
      </c>
      <c r="E582" s="81"/>
    </row>
    <row r="583" spans="1:5" ht="37.5" hidden="1" customHeight="1" outlineLevel="1" x14ac:dyDescent="0.3">
      <c r="A583" s="143" t="s">
        <v>425</v>
      </c>
      <c r="B583" s="14" t="s">
        <v>579</v>
      </c>
      <c r="C583" s="14" t="s">
        <v>59</v>
      </c>
      <c r="D583" s="72">
        <f>'В-25'!G1003</f>
        <v>0</v>
      </c>
      <c r="E583" s="81"/>
    </row>
    <row r="584" spans="1:5" ht="37.5" hidden="1" x14ac:dyDescent="0.3">
      <c r="A584" s="143" t="s">
        <v>264</v>
      </c>
      <c r="B584" s="14" t="s">
        <v>579</v>
      </c>
      <c r="C584" s="14" t="s">
        <v>261</v>
      </c>
      <c r="D584" s="72">
        <f>'В-25'!G1004</f>
        <v>0</v>
      </c>
      <c r="E584" s="81"/>
    </row>
    <row r="585" spans="1:5" ht="18.75" hidden="1" x14ac:dyDescent="0.3">
      <c r="A585" s="143" t="s">
        <v>184</v>
      </c>
      <c r="B585" s="14" t="s">
        <v>794</v>
      </c>
      <c r="C585" s="14" t="s">
        <v>50</v>
      </c>
      <c r="D585" s="72">
        <f>D586</f>
        <v>0</v>
      </c>
      <c r="E585" s="81"/>
    </row>
    <row r="586" spans="1:5" ht="37.5" hidden="1" x14ac:dyDescent="0.3">
      <c r="A586" s="143" t="s">
        <v>425</v>
      </c>
      <c r="B586" s="14" t="s">
        <v>794</v>
      </c>
      <c r="C586" s="14" t="s">
        <v>59</v>
      </c>
      <c r="D586" s="72">
        <f>'В-25'!G1006</f>
        <v>0</v>
      </c>
      <c r="E586" s="81"/>
    </row>
    <row r="587" spans="1:5" ht="37.5" hidden="1" x14ac:dyDescent="0.3">
      <c r="A587" s="244" t="s">
        <v>954</v>
      </c>
      <c r="B587" s="44" t="s">
        <v>952</v>
      </c>
      <c r="C587" s="14" t="s">
        <v>50</v>
      </c>
      <c r="D587" s="72">
        <f>D588</f>
        <v>0</v>
      </c>
      <c r="E587" s="81"/>
    </row>
    <row r="588" spans="1:5" ht="37.5" hidden="1" x14ac:dyDescent="0.3">
      <c r="A588" s="143" t="s">
        <v>425</v>
      </c>
      <c r="B588" s="44" t="s">
        <v>952</v>
      </c>
      <c r="C588" s="14" t="s">
        <v>59</v>
      </c>
      <c r="D588" s="72">
        <f>'В-25'!G1105</f>
        <v>0</v>
      </c>
      <c r="E588" s="81"/>
    </row>
    <row r="589" spans="1:5" ht="37.5" hidden="1" x14ac:dyDescent="0.3">
      <c r="A589" s="244" t="s">
        <v>954</v>
      </c>
      <c r="B589" s="44" t="s">
        <v>953</v>
      </c>
      <c r="C589" s="14" t="s">
        <v>50</v>
      </c>
      <c r="D589" s="72">
        <f>D590</f>
        <v>0</v>
      </c>
      <c r="E589" s="81"/>
    </row>
    <row r="590" spans="1:5" ht="37.5" hidden="1" x14ac:dyDescent="0.3">
      <c r="A590" s="143" t="s">
        <v>425</v>
      </c>
      <c r="B590" s="44" t="s">
        <v>953</v>
      </c>
      <c r="C590" s="14" t="s">
        <v>59</v>
      </c>
      <c r="D590" s="72">
        <f>'В-25'!G1107</f>
        <v>0</v>
      </c>
      <c r="E590" s="81"/>
    </row>
    <row r="591" spans="1:5" ht="56.25" hidden="1" x14ac:dyDescent="0.3">
      <c r="A591" s="143" t="s">
        <v>945</v>
      </c>
      <c r="B591" s="111" t="s">
        <v>946</v>
      </c>
      <c r="C591" s="111" t="s">
        <v>50</v>
      </c>
      <c r="D591" s="72">
        <f>D592</f>
        <v>0</v>
      </c>
      <c r="E591" s="81"/>
    </row>
    <row r="592" spans="1:5" ht="18.75" hidden="1" x14ac:dyDescent="0.3">
      <c r="A592" s="143" t="s">
        <v>58</v>
      </c>
      <c r="B592" s="111" t="s">
        <v>946</v>
      </c>
      <c r="C592" s="111" t="s">
        <v>59</v>
      </c>
      <c r="D592" s="72">
        <v>0</v>
      </c>
      <c r="E592" s="81"/>
    </row>
    <row r="593" spans="1:5" ht="56.25" hidden="1" x14ac:dyDescent="0.3">
      <c r="A593" s="164" t="s">
        <v>495</v>
      </c>
      <c r="B593" s="15" t="s">
        <v>617</v>
      </c>
      <c r="C593" s="14" t="s">
        <v>50</v>
      </c>
      <c r="D593" s="72">
        <f>D594</f>
        <v>0</v>
      </c>
      <c r="E593" s="81"/>
    </row>
    <row r="594" spans="1:5" ht="18.75" hidden="1" x14ac:dyDescent="0.3">
      <c r="A594" s="143" t="s">
        <v>60</v>
      </c>
      <c r="B594" s="15" t="s">
        <v>617</v>
      </c>
      <c r="C594" s="14" t="s">
        <v>61</v>
      </c>
      <c r="D594" s="72">
        <f>'В-25'!G571+'В-25'!G949</f>
        <v>0</v>
      </c>
      <c r="E594" s="81"/>
    </row>
    <row r="595" spans="1:5" ht="56.25" hidden="1" x14ac:dyDescent="0.3">
      <c r="A595" s="143" t="s">
        <v>173</v>
      </c>
      <c r="B595" s="14" t="s">
        <v>245</v>
      </c>
      <c r="C595" s="14" t="s">
        <v>50</v>
      </c>
      <c r="D595" s="72">
        <f>D596</f>
        <v>0</v>
      </c>
      <c r="E595" s="81"/>
    </row>
    <row r="596" spans="1:5" ht="112.5" hidden="1" x14ac:dyDescent="0.3">
      <c r="A596" s="143" t="s">
        <v>534</v>
      </c>
      <c r="B596" s="14" t="s">
        <v>246</v>
      </c>
      <c r="C596" s="14" t="s">
        <v>50</v>
      </c>
      <c r="D596" s="72">
        <f>D597</f>
        <v>0</v>
      </c>
      <c r="E596" s="81"/>
    </row>
    <row r="597" spans="1:5" ht="37.5" hidden="1" x14ac:dyDescent="0.3">
      <c r="A597" s="143" t="s">
        <v>425</v>
      </c>
      <c r="B597" s="14" t="s">
        <v>246</v>
      </c>
      <c r="C597" s="14" t="s">
        <v>59</v>
      </c>
      <c r="D597" s="72">
        <f>'В-25'!G704</f>
        <v>0</v>
      </c>
      <c r="E597" s="81"/>
    </row>
    <row r="598" spans="1:5" ht="56.25" hidden="1" x14ac:dyDescent="0.3">
      <c r="A598" s="143" t="s">
        <v>249</v>
      </c>
      <c r="B598" s="14" t="s">
        <v>626</v>
      </c>
      <c r="C598" s="14" t="s">
        <v>50</v>
      </c>
      <c r="D598" s="72">
        <v>0</v>
      </c>
      <c r="E598" s="81"/>
    </row>
    <row r="599" spans="1:5" ht="37.5" hidden="1" x14ac:dyDescent="0.3">
      <c r="A599" s="232" t="s">
        <v>951</v>
      </c>
      <c r="B599" s="14" t="s">
        <v>1125</v>
      </c>
      <c r="C599" s="14" t="s">
        <v>50</v>
      </c>
      <c r="D599" s="72">
        <f>D600</f>
        <v>0</v>
      </c>
      <c r="E599" s="81"/>
    </row>
    <row r="600" spans="1:5" ht="37.5" hidden="1" x14ac:dyDescent="0.3">
      <c r="A600" s="143" t="s">
        <v>425</v>
      </c>
      <c r="B600" s="14" t="s">
        <v>1125</v>
      </c>
      <c r="C600" s="14" t="s">
        <v>59</v>
      </c>
      <c r="D600" s="72">
        <f>'В-25'!G952</f>
        <v>0</v>
      </c>
      <c r="E600" s="81"/>
    </row>
    <row r="601" spans="1:5" ht="37.5" hidden="1" x14ac:dyDescent="0.3">
      <c r="A601" s="232" t="s">
        <v>951</v>
      </c>
      <c r="B601" s="14" t="s">
        <v>1126</v>
      </c>
      <c r="C601" s="14" t="s">
        <v>50</v>
      </c>
      <c r="D601" s="72">
        <f>D602</f>
        <v>0</v>
      </c>
      <c r="E601" s="81"/>
    </row>
    <row r="602" spans="1:5" ht="38.25" hidden="1" customHeight="1" x14ac:dyDescent="0.3">
      <c r="A602" s="143" t="s">
        <v>425</v>
      </c>
      <c r="B602" s="14" t="s">
        <v>1126</v>
      </c>
      <c r="C602" s="14" t="s">
        <v>59</v>
      </c>
      <c r="D602" s="72">
        <f>'В-25'!G954</f>
        <v>0</v>
      </c>
      <c r="E602" s="81"/>
    </row>
    <row r="603" spans="1:5" ht="39" hidden="1" x14ac:dyDescent="0.35">
      <c r="A603" s="161" t="s">
        <v>11</v>
      </c>
      <c r="B603" s="63" t="s">
        <v>29</v>
      </c>
      <c r="C603" s="64" t="s">
        <v>50</v>
      </c>
      <c r="D603" s="197">
        <f>D604+D660+D714</f>
        <v>0</v>
      </c>
      <c r="E603" s="81"/>
    </row>
    <row r="604" spans="1:5" ht="18.75" hidden="1" outlineLevel="1" x14ac:dyDescent="0.3">
      <c r="A604" s="143" t="s">
        <v>62</v>
      </c>
      <c r="B604" s="14" t="s">
        <v>251</v>
      </c>
      <c r="C604" s="14" t="s">
        <v>50</v>
      </c>
      <c r="D604" s="72">
        <f>D607+D605+D750</f>
        <v>0</v>
      </c>
      <c r="E604" s="81"/>
    </row>
    <row r="605" spans="1:5" ht="18.75" hidden="1" outlineLevel="1" x14ac:dyDescent="0.3">
      <c r="A605" s="143" t="s">
        <v>289</v>
      </c>
      <c r="B605" s="44" t="s">
        <v>647</v>
      </c>
      <c r="C605" s="14" t="s">
        <v>50</v>
      </c>
      <c r="D605" s="72">
        <f>D606</f>
        <v>0</v>
      </c>
      <c r="E605" s="81"/>
    </row>
    <row r="606" spans="1:5" ht="37.5" hidden="1" outlineLevel="1" x14ac:dyDescent="0.3">
      <c r="A606" s="143" t="s">
        <v>425</v>
      </c>
      <c r="B606" s="44" t="s">
        <v>647</v>
      </c>
      <c r="C606" s="44" t="s">
        <v>59</v>
      </c>
      <c r="D606" s="72">
        <f>'В-25'!G1023</f>
        <v>0</v>
      </c>
      <c r="E606" s="81"/>
    </row>
    <row r="607" spans="1:5" s="225" customFormat="1" ht="18.75" hidden="1" outlineLevel="1" x14ac:dyDescent="0.3">
      <c r="A607" s="155" t="s">
        <v>64</v>
      </c>
      <c r="B607" s="9" t="s">
        <v>252</v>
      </c>
      <c r="C607" s="9" t="s">
        <v>50</v>
      </c>
      <c r="D607" s="196">
        <f>D608+D610+D612+D614+D616+D618+D620+D622+D624+D626+D628+D630+D632+D634+D636+D638+D640</f>
        <v>0</v>
      </c>
      <c r="E607" s="224"/>
    </row>
    <row r="608" spans="1:5" ht="63" hidden="1" customHeight="1" outlineLevel="1" x14ac:dyDescent="0.3">
      <c r="A608" s="143" t="s">
        <v>1055</v>
      </c>
      <c r="B608" s="14" t="s">
        <v>861</v>
      </c>
      <c r="C608" s="44" t="s">
        <v>50</v>
      </c>
      <c r="D608" s="72">
        <f>D609</f>
        <v>0</v>
      </c>
      <c r="E608" s="81"/>
    </row>
    <row r="609" spans="1:5" ht="37.5" hidden="1" outlineLevel="1" x14ac:dyDescent="0.3">
      <c r="A609" s="143" t="s">
        <v>425</v>
      </c>
      <c r="B609" s="14" t="s">
        <v>861</v>
      </c>
      <c r="C609" s="44" t="s">
        <v>59</v>
      </c>
      <c r="D609" s="72">
        <f>'В-25'!G838</f>
        <v>0</v>
      </c>
      <c r="E609" s="81"/>
    </row>
    <row r="610" spans="1:5" ht="75" hidden="1" outlineLevel="1" x14ac:dyDescent="0.3">
      <c r="A610" s="143" t="s">
        <v>1056</v>
      </c>
      <c r="B610" s="44" t="s">
        <v>985</v>
      </c>
      <c r="C610" s="14" t="s">
        <v>50</v>
      </c>
      <c r="D610" s="72">
        <f>D611</f>
        <v>0</v>
      </c>
      <c r="E610" s="81"/>
    </row>
    <row r="611" spans="1:5" ht="37.5" hidden="1" outlineLevel="1" x14ac:dyDescent="0.3">
      <c r="A611" s="143" t="s">
        <v>425</v>
      </c>
      <c r="B611" s="44" t="s">
        <v>985</v>
      </c>
      <c r="C611" s="44" t="s">
        <v>59</v>
      </c>
      <c r="D611" s="72">
        <f>'В-25'!G840</f>
        <v>0</v>
      </c>
      <c r="E611" s="81"/>
    </row>
    <row r="612" spans="1:5" ht="63" hidden="1" customHeight="1" outlineLevel="1" x14ac:dyDescent="0.3">
      <c r="A612" s="143" t="s">
        <v>1057</v>
      </c>
      <c r="B612" s="44" t="s">
        <v>986</v>
      </c>
      <c r="C612" s="14" t="s">
        <v>50</v>
      </c>
      <c r="D612" s="72">
        <f>D613</f>
        <v>0</v>
      </c>
      <c r="E612" s="81"/>
    </row>
    <row r="613" spans="1:5" ht="37.5" hidden="1" outlineLevel="1" x14ac:dyDescent="0.3">
      <c r="A613" s="143" t="s">
        <v>425</v>
      </c>
      <c r="B613" s="44" t="s">
        <v>986</v>
      </c>
      <c r="C613" s="14" t="s">
        <v>59</v>
      </c>
      <c r="D613" s="72">
        <f>'В-25'!G842</f>
        <v>0</v>
      </c>
      <c r="E613" s="81"/>
    </row>
    <row r="614" spans="1:5" ht="93.75" hidden="1" outlineLevel="1" x14ac:dyDescent="0.3">
      <c r="A614" s="143" t="s">
        <v>1058</v>
      </c>
      <c r="B614" s="14" t="s">
        <v>1011</v>
      </c>
      <c r="C614" s="44" t="s">
        <v>50</v>
      </c>
      <c r="D614" s="72">
        <f>D615</f>
        <v>0</v>
      </c>
      <c r="E614" s="81"/>
    </row>
    <row r="615" spans="1:5" ht="37.5" hidden="1" outlineLevel="1" x14ac:dyDescent="0.3">
      <c r="A615" s="143" t="s">
        <v>425</v>
      </c>
      <c r="B615" s="14" t="s">
        <v>1011</v>
      </c>
      <c r="C615" s="44" t="s">
        <v>59</v>
      </c>
      <c r="D615" s="72">
        <f>'В-25'!G844</f>
        <v>0</v>
      </c>
      <c r="E615" s="81"/>
    </row>
    <row r="616" spans="1:5" ht="75" hidden="1" outlineLevel="1" x14ac:dyDescent="0.3">
      <c r="A616" s="143" t="s">
        <v>1059</v>
      </c>
      <c r="B616" s="14" t="s">
        <v>1012</v>
      </c>
      <c r="C616" s="44" t="s">
        <v>50</v>
      </c>
      <c r="D616" s="72">
        <f>D617</f>
        <v>0</v>
      </c>
      <c r="E616" s="81"/>
    </row>
    <row r="617" spans="1:5" ht="37.5" hidden="1" outlineLevel="1" x14ac:dyDescent="0.3">
      <c r="A617" s="143" t="s">
        <v>425</v>
      </c>
      <c r="B617" s="14" t="s">
        <v>1012</v>
      </c>
      <c r="C617" s="44" t="s">
        <v>59</v>
      </c>
      <c r="D617" s="72">
        <f>'В-25'!G846</f>
        <v>0</v>
      </c>
      <c r="E617" s="81"/>
    </row>
    <row r="618" spans="1:5" ht="75" hidden="1" outlineLevel="1" x14ac:dyDescent="0.3">
      <c r="A618" s="143" t="s">
        <v>1060</v>
      </c>
      <c r="B618" s="44" t="s">
        <v>1013</v>
      </c>
      <c r="C618" s="44" t="s">
        <v>50</v>
      </c>
      <c r="D618" s="72">
        <f>D619</f>
        <v>0</v>
      </c>
      <c r="E618" s="81"/>
    </row>
    <row r="619" spans="1:5" ht="37.5" hidden="1" outlineLevel="1" x14ac:dyDescent="0.3">
      <c r="A619" s="143" t="s">
        <v>425</v>
      </c>
      <c r="B619" s="44" t="s">
        <v>1013</v>
      </c>
      <c r="C619" s="44" t="s">
        <v>59</v>
      </c>
      <c r="D619" s="72">
        <f>'В-25'!G848</f>
        <v>0</v>
      </c>
      <c r="E619" s="81"/>
    </row>
    <row r="620" spans="1:5" ht="37.5" hidden="1" outlineLevel="1" x14ac:dyDescent="0.3">
      <c r="A620" s="143" t="s">
        <v>1061</v>
      </c>
      <c r="B620" s="44" t="s">
        <v>1014</v>
      </c>
      <c r="C620" s="14" t="s">
        <v>50</v>
      </c>
      <c r="D620" s="72">
        <f>D621</f>
        <v>0</v>
      </c>
      <c r="E620" s="81"/>
    </row>
    <row r="621" spans="1:5" ht="37.5" hidden="1" outlineLevel="1" x14ac:dyDescent="0.3">
      <c r="A621" s="143" t="s">
        <v>425</v>
      </c>
      <c r="B621" s="44" t="s">
        <v>1014</v>
      </c>
      <c r="C621" s="44" t="s">
        <v>59</v>
      </c>
      <c r="D621" s="72">
        <f>'В-25'!G850</f>
        <v>0</v>
      </c>
      <c r="E621" s="81"/>
    </row>
    <row r="622" spans="1:5" ht="56.25" hidden="1" outlineLevel="1" x14ac:dyDescent="0.3">
      <c r="A622" s="143" t="s">
        <v>1062</v>
      </c>
      <c r="B622" s="44" t="s">
        <v>1015</v>
      </c>
      <c r="C622" s="14" t="s">
        <v>50</v>
      </c>
      <c r="D622" s="72">
        <f>D623</f>
        <v>0</v>
      </c>
      <c r="E622" s="81"/>
    </row>
    <row r="623" spans="1:5" ht="37.5" hidden="1" outlineLevel="1" x14ac:dyDescent="0.3">
      <c r="A623" s="143" t="s">
        <v>425</v>
      </c>
      <c r="B623" s="44" t="s">
        <v>1015</v>
      </c>
      <c r="C623" s="44" t="s">
        <v>59</v>
      </c>
      <c r="D623" s="72">
        <f>'В-25'!G852</f>
        <v>0</v>
      </c>
      <c r="E623" s="81"/>
    </row>
    <row r="624" spans="1:5" ht="56.25" hidden="1" outlineLevel="1" x14ac:dyDescent="0.3">
      <c r="A624" s="143" t="s">
        <v>1063</v>
      </c>
      <c r="B624" s="44" t="s">
        <v>1016</v>
      </c>
      <c r="C624" s="14" t="s">
        <v>50</v>
      </c>
      <c r="D624" s="72">
        <f>D625</f>
        <v>0</v>
      </c>
      <c r="E624" s="81"/>
    </row>
    <row r="625" spans="1:5" ht="37.5" hidden="1" outlineLevel="1" x14ac:dyDescent="0.3">
      <c r="A625" s="143" t="s">
        <v>425</v>
      </c>
      <c r="B625" s="44" t="s">
        <v>1016</v>
      </c>
      <c r="C625" s="44" t="s">
        <v>59</v>
      </c>
      <c r="D625" s="72">
        <f>'В-25'!G854</f>
        <v>0</v>
      </c>
      <c r="E625" s="81"/>
    </row>
    <row r="626" spans="1:5" ht="75" hidden="1" outlineLevel="1" x14ac:dyDescent="0.3">
      <c r="A626" s="143" t="s">
        <v>1064</v>
      </c>
      <c r="B626" s="44" t="s">
        <v>1017</v>
      </c>
      <c r="C626" s="14" t="s">
        <v>50</v>
      </c>
      <c r="D626" s="72">
        <f>D627</f>
        <v>0</v>
      </c>
      <c r="E626" s="81"/>
    </row>
    <row r="627" spans="1:5" ht="37.5" hidden="1" outlineLevel="1" x14ac:dyDescent="0.3">
      <c r="A627" s="143" t="s">
        <v>425</v>
      </c>
      <c r="B627" s="44" t="s">
        <v>1017</v>
      </c>
      <c r="C627" s="44" t="s">
        <v>59</v>
      </c>
      <c r="D627" s="72">
        <f>'В-25'!G856</f>
        <v>0</v>
      </c>
      <c r="E627" s="81"/>
    </row>
    <row r="628" spans="1:5" ht="75" hidden="1" outlineLevel="1" x14ac:dyDescent="0.3">
      <c r="A628" s="143" t="s">
        <v>1065</v>
      </c>
      <c r="B628" s="44" t="s">
        <v>1018</v>
      </c>
      <c r="C628" s="14" t="s">
        <v>50</v>
      </c>
      <c r="D628" s="72">
        <f>D629</f>
        <v>0</v>
      </c>
      <c r="E628" s="81"/>
    </row>
    <row r="629" spans="1:5" ht="37.5" hidden="1" outlineLevel="1" x14ac:dyDescent="0.3">
      <c r="A629" s="143" t="s">
        <v>425</v>
      </c>
      <c r="B629" s="44" t="s">
        <v>1018</v>
      </c>
      <c r="C629" s="1">
        <v>200</v>
      </c>
      <c r="D629" s="72">
        <f>'В-25'!G1071</f>
        <v>0</v>
      </c>
      <c r="E629" s="81"/>
    </row>
    <row r="630" spans="1:5" ht="93.75" hidden="1" outlineLevel="1" x14ac:dyDescent="0.3">
      <c r="A630" s="143" t="s">
        <v>1066</v>
      </c>
      <c r="B630" s="44" t="s">
        <v>1019</v>
      </c>
      <c r="C630" s="14" t="s">
        <v>50</v>
      </c>
      <c r="D630" s="72">
        <f>D631</f>
        <v>0</v>
      </c>
      <c r="E630" s="81"/>
    </row>
    <row r="631" spans="1:5" ht="37.5" hidden="1" outlineLevel="1" x14ac:dyDescent="0.3">
      <c r="A631" s="143" t="s">
        <v>425</v>
      </c>
      <c r="B631" s="44" t="s">
        <v>1019</v>
      </c>
      <c r="C631" s="1">
        <v>200</v>
      </c>
      <c r="D631" s="72">
        <f>'В-25'!G1073</f>
        <v>0</v>
      </c>
      <c r="E631" s="81"/>
    </row>
    <row r="632" spans="1:5" ht="75" hidden="1" outlineLevel="1" x14ac:dyDescent="0.3">
      <c r="A632" s="143" t="s">
        <v>1067</v>
      </c>
      <c r="B632" s="44" t="s">
        <v>1020</v>
      </c>
      <c r="C632" s="15" t="s">
        <v>50</v>
      </c>
      <c r="D632" s="72">
        <f>D633</f>
        <v>0</v>
      </c>
      <c r="E632" s="81"/>
    </row>
    <row r="633" spans="1:5" ht="37.5" hidden="1" outlineLevel="1" x14ac:dyDescent="0.3">
      <c r="A633" s="143" t="s">
        <v>425</v>
      </c>
      <c r="B633" s="44" t="s">
        <v>1020</v>
      </c>
      <c r="C633" s="15" t="s">
        <v>59</v>
      </c>
      <c r="D633" s="72">
        <f>'В-25'!G1568</f>
        <v>0</v>
      </c>
      <c r="E633" s="81"/>
    </row>
    <row r="634" spans="1:5" ht="75" hidden="1" outlineLevel="1" x14ac:dyDescent="0.3">
      <c r="A634" s="143" t="s">
        <v>1068</v>
      </c>
      <c r="B634" s="44" t="s">
        <v>1021</v>
      </c>
      <c r="C634" s="14" t="s">
        <v>50</v>
      </c>
      <c r="D634" s="72">
        <f>D635</f>
        <v>0</v>
      </c>
      <c r="E634" s="81"/>
    </row>
    <row r="635" spans="1:5" ht="37.5" hidden="1" outlineLevel="1" x14ac:dyDescent="0.3">
      <c r="A635" s="143" t="s">
        <v>425</v>
      </c>
      <c r="B635" s="44" t="s">
        <v>1021</v>
      </c>
      <c r="C635" s="44" t="s">
        <v>59</v>
      </c>
      <c r="D635" s="72">
        <f>'В-25'!G1572</f>
        <v>0</v>
      </c>
      <c r="E635" s="81"/>
    </row>
    <row r="636" spans="1:5" ht="75" hidden="1" outlineLevel="1" x14ac:dyDescent="0.3">
      <c r="A636" s="143" t="s">
        <v>1069</v>
      </c>
      <c r="B636" s="44" t="s">
        <v>1022</v>
      </c>
      <c r="C636" s="14" t="s">
        <v>50</v>
      </c>
      <c r="D636" s="72">
        <f>D637</f>
        <v>0</v>
      </c>
      <c r="E636" s="81"/>
    </row>
    <row r="637" spans="1:5" ht="37.5" hidden="1" outlineLevel="1" x14ac:dyDescent="0.3">
      <c r="A637" s="143" t="s">
        <v>264</v>
      </c>
      <c r="B637" s="44" t="s">
        <v>1022</v>
      </c>
      <c r="C637" s="14" t="s">
        <v>261</v>
      </c>
      <c r="D637" s="72">
        <f>'В-25'!G1411</f>
        <v>0</v>
      </c>
      <c r="E637" s="81"/>
    </row>
    <row r="638" spans="1:5" ht="75" hidden="1" outlineLevel="1" x14ac:dyDescent="0.3">
      <c r="A638" s="143" t="s">
        <v>1070</v>
      </c>
      <c r="B638" s="44" t="s">
        <v>1023</v>
      </c>
      <c r="C638" s="14" t="s">
        <v>50</v>
      </c>
      <c r="D638" s="72">
        <f>D639</f>
        <v>0</v>
      </c>
      <c r="E638" s="81"/>
    </row>
    <row r="639" spans="1:5" ht="37.5" hidden="1" outlineLevel="1" x14ac:dyDescent="0.3">
      <c r="A639" s="143" t="s">
        <v>264</v>
      </c>
      <c r="B639" s="44" t="s">
        <v>1023</v>
      </c>
      <c r="C639" s="14" t="s">
        <v>261</v>
      </c>
      <c r="D639" s="72">
        <f>'В-25'!G1574</f>
        <v>0</v>
      </c>
      <c r="E639" s="81"/>
    </row>
    <row r="640" spans="1:5" ht="104.1" hidden="1" customHeight="1" outlineLevel="1" x14ac:dyDescent="0.3">
      <c r="A640" s="143" t="s">
        <v>1071</v>
      </c>
      <c r="B640" s="44" t="s">
        <v>1024</v>
      </c>
      <c r="C640" s="14" t="s">
        <v>50</v>
      </c>
      <c r="D640" s="72">
        <f>D641</f>
        <v>0</v>
      </c>
      <c r="E640" s="81"/>
    </row>
    <row r="641" spans="1:5" ht="37.5" hidden="1" outlineLevel="1" x14ac:dyDescent="0.3">
      <c r="A641" s="143" t="s">
        <v>264</v>
      </c>
      <c r="B641" s="44" t="s">
        <v>1024</v>
      </c>
      <c r="C641" s="14" t="s">
        <v>261</v>
      </c>
      <c r="D641" s="72">
        <f>'В-25'!G1413</f>
        <v>0</v>
      </c>
      <c r="E641" s="81"/>
    </row>
    <row r="642" spans="1:5" ht="93.75" hidden="1" outlineLevel="1" x14ac:dyDescent="0.3">
      <c r="A642" s="143" t="s">
        <v>841</v>
      </c>
      <c r="B642" s="15" t="s">
        <v>862</v>
      </c>
      <c r="C642" s="14" t="s">
        <v>50</v>
      </c>
      <c r="D642" s="72">
        <f>D643</f>
        <v>0</v>
      </c>
      <c r="E642" s="81"/>
    </row>
    <row r="643" spans="1:5" ht="37.5" hidden="1" outlineLevel="1" x14ac:dyDescent="0.3">
      <c r="A643" s="143" t="s">
        <v>264</v>
      </c>
      <c r="B643" s="15" t="s">
        <v>862</v>
      </c>
      <c r="C643" s="1">
        <v>600</v>
      </c>
      <c r="D643" s="72">
        <v>0</v>
      </c>
      <c r="E643" s="81"/>
    </row>
    <row r="644" spans="1:5" ht="93.75" hidden="1" outlineLevel="1" x14ac:dyDescent="0.3">
      <c r="A644" s="143" t="s">
        <v>547</v>
      </c>
      <c r="B644" s="14" t="s">
        <v>604</v>
      </c>
      <c r="C644" s="14" t="s">
        <v>50</v>
      </c>
      <c r="D644" s="72">
        <f>D645</f>
        <v>0</v>
      </c>
      <c r="E644" s="81"/>
    </row>
    <row r="645" spans="1:5" ht="37.5" hidden="1" outlineLevel="1" x14ac:dyDescent="0.3">
      <c r="A645" s="143" t="s">
        <v>425</v>
      </c>
      <c r="B645" s="14" t="s">
        <v>604</v>
      </c>
      <c r="C645" s="14" t="s">
        <v>59</v>
      </c>
      <c r="D645" s="72">
        <v>0</v>
      </c>
      <c r="E645" s="81"/>
    </row>
    <row r="646" spans="1:5" ht="93.75" hidden="1" outlineLevel="1" x14ac:dyDescent="0.3">
      <c r="A646" s="143" t="s">
        <v>548</v>
      </c>
      <c r="B646" s="14" t="s">
        <v>603</v>
      </c>
      <c r="C646" s="14" t="s">
        <v>50</v>
      </c>
      <c r="D646" s="72">
        <f>D647</f>
        <v>0</v>
      </c>
      <c r="E646" s="81"/>
    </row>
    <row r="647" spans="1:5" ht="37.5" hidden="1" outlineLevel="1" x14ac:dyDescent="0.3">
      <c r="A647" s="143" t="s">
        <v>425</v>
      </c>
      <c r="B647" s="14" t="s">
        <v>603</v>
      </c>
      <c r="C647" s="14" t="s">
        <v>59</v>
      </c>
      <c r="D647" s="72">
        <f>'В-25'!G221</f>
        <v>0</v>
      </c>
      <c r="E647" s="81"/>
    </row>
    <row r="648" spans="1:5" ht="56.25" hidden="1" outlineLevel="1" x14ac:dyDescent="0.3">
      <c r="A648" s="143" t="s">
        <v>755</v>
      </c>
      <c r="B648" s="44" t="s">
        <v>753</v>
      </c>
      <c r="C648" s="14" t="s">
        <v>50</v>
      </c>
      <c r="D648" s="72">
        <f>D649</f>
        <v>0</v>
      </c>
      <c r="E648" s="81"/>
    </row>
    <row r="649" spans="1:5" ht="37.5" hidden="1" outlineLevel="1" x14ac:dyDescent="0.3">
      <c r="A649" s="143" t="s">
        <v>425</v>
      </c>
      <c r="B649" s="44" t="s">
        <v>753</v>
      </c>
      <c r="C649" s="44" t="s">
        <v>59</v>
      </c>
      <c r="D649" s="72">
        <f>'В-25'!G1086</f>
        <v>0</v>
      </c>
      <c r="E649" s="81"/>
    </row>
    <row r="650" spans="1:5" ht="56.25" hidden="1" outlineLevel="1" x14ac:dyDescent="0.3">
      <c r="A650" s="143" t="s">
        <v>766</v>
      </c>
      <c r="B650" s="44" t="s">
        <v>762</v>
      </c>
      <c r="C650" s="44" t="s">
        <v>50</v>
      </c>
      <c r="D650" s="72">
        <f>D651</f>
        <v>0</v>
      </c>
      <c r="E650" s="81"/>
    </row>
    <row r="651" spans="1:5" ht="37.5" hidden="1" outlineLevel="1" x14ac:dyDescent="0.3">
      <c r="A651" s="143" t="s">
        <v>425</v>
      </c>
      <c r="B651" s="44" t="s">
        <v>762</v>
      </c>
      <c r="C651" s="44" t="s">
        <v>59</v>
      </c>
      <c r="D651" s="72">
        <f>'В-25'!G1088</f>
        <v>0</v>
      </c>
      <c r="E651" s="81"/>
    </row>
    <row r="652" spans="1:5" ht="56.25" hidden="1" outlineLevel="1" x14ac:dyDescent="0.3">
      <c r="A652" s="143" t="s">
        <v>886</v>
      </c>
      <c r="B652" s="44" t="s">
        <v>889</v>
      </c>
      <c r="C652" s="14" t="s">
        <v>50</v>
      </c>
      <c r="D652" s="72">
        <f>D653</f>
        <v>0</v>
      </c>
      <c r="E652" s="81"/>
    </row>
    <row r="653" spans="1:5" ht="37.5" hidden="1" outlineLevel="1" x14ac:dyDescent="0.3">
      <c r="A653" s="143" t="s">
        <v>425</v>
      </c>
      <c r="B653" s="44" t="s">
        <v>889</v>
      </c>
      <c r="C653" s="44" t="s">
        <v>59</v>
      </c>
      <c r="D653" s="72">
        <f>'В-25'!G1099</f>
        <v>0</v>
      </c>
      <c r="E653" s="81"/>
    </row>
    <row r="654" spans="1:5" ht="56.25" hidden="1" outlineLevel="1" x14ac:dyDescent="0.3">
      <c r="A654" s="143" t="s">
        <v>887</v>
      </c>
      <c r="B654" s="44" t="s">
        <v>888</v>
      </c>
      <c r="C654" s="14" t="s">
        <v>50</v>
      </c>
      <c r="D654" s="72">
        <f>D655</f>
        <v>0</v>
      </c>
      <c r="E654" s="81"/>
    </row>
    <row r="655" spans="1:5" ht="37.5" hidden="1" outlineLevel="1" x14ac:dyDescent="0.3">
      <c r="A655" s="143" t="s">
        <v>425</v>
      </c>
      <c r="B655" s="44" t="s">
        <v>888</v>
      </c>
      <c r="C655" s="44" t="s">
        <v>59</v>
      </c>
      <c r="D655" s="72">
        <f>'В-25'!G1101</f>
        <v>0</v>
      </c>
      <c r="E655" s="81"/>
    </row>
    <row r="656" spans="1:5" ht="93.75" hidden="1" outlineLevel="1" x14ac:dyDescent="0.3">
      <c r="A656" s="143" t="s">
        <v>724</v>
      </c>
      <c r="B656" s="44" t="s">
        <v>891</v>
      </c>
      <c r="C656" s="15" t="s">
        <v>50</v>
      </c>
      <c r="D656" s="72">
        <f>D657</f>
        <v>0</v>
      </c>
      <c r="E656" s="81"/>
    </row>
    <row r="657" spans="1:5" ht="37.5" hidden="1" outlineLevel="1" x14ac:dyDescent="0.3">
      <c r="A657" s="143" t="s">
        <v>264</v>
      </c>
      <c r="B657" s="44" t="s">
        <v>891</v>
      </c>
      <c r="C657" s="15" t="s">
        <v>261</v>
      </c>
      <c r="D657" s="72">
        <f>'В-25'!G1415</f>
        <v>0</v>
      </c>
      <c r="E657" s="81"/>
    </row>
    <row r="658" spans="1:5" ht="56.25" hidden="1" outlineLevel="1" x14ac:dyDescent="0.3">
      <c r="A658" s="143" t="s">
        <v>893</v>
      </c>
      <c r="B658" s="44" t="s">
        <v>894</v>
      </c>
      <c r="C658" s="14" t="s">
        <v>50</v>
      </c>
      <c r="D658" s="72">
        <f>D659</f>
        <v>0</v>
      </c>
      <c r="E658" s="81"/>
    </row>
    <row r="659" spans="1:5" ht="37.5" hidden="1" outlineLevel="1" x14ac:dyDescent="0.3">
      <c r="A659" s="143" t="s">
        <v>425</v>
      </c>
      <c r="B659" s="44" t="s">
        <v>894</v>
      </c>
      <c r="C659" s="14" t="s">
        <v>59</v>
      </c>
      <c r="D659" s="72">
        <f>'В-25'!G863</f>
        <v>0</v>
      </c>
      <c r="E659" s="81"/>
    </row>
    <row r="660" spans="1:5" s="225" customFormat="1" ht="56.25" hidden="1" collapsed="1" x14ac:dyDescent="0.3">
      <c r="A660" s="169" t="s">
        <v>249</v>
      </c>
      <c r="B660" s="21" t="s">
        <v>254</v>
      </c>
      <c r="C660" s="9" t="s">
        <v>50</v>
      </c>
      <c r="D660" s="196">
        <f>D661</f>
        <v>0</v>
      </c>
      <c r="E660" s="224"/>
    </row>
    <row r="661" spans="1:5" ht="63" hidden="1" customHeight="1" x14ac:dyDescent="0.3">
      <c r="A661" s="143" t="s">
        <v>253</v>
      </c>
      <c r="B661" s="14" t="s">
        <v>863</v>
      </c>
      <c r="C661" s="14" t="s">
        <v>50</v>
      </c>
      <c r="D661" s="72">
        <f>D662+D664+D666+D668+D670+D672+D674+D676+D678+D680+D682+D684+D686+D688+D690+D692+D694</f>
        <v>0</v>
      </c>
      <c r="E661" s="81"/>
    </row>
    <row r="662" spans="1:5" ht="104.1" hidden="1" customHeight="1" x14ac:dyDescent="0.3">
      <c r="A662" s="143" t="s">
        <v>1072</v>
      </c>
      <c r="B662" s="14" t="s">
        <v>864</v>
      </c>
      <c r="C662" s="14" t="s">
        <v>50</v>
      </c>
      <c r="D662" s="72">
        <f>D663</f>
        <v>0</v>
      </c>
      <c r="E662" s="81"/>
    </row>
    <row r="663" spans="1:5" ht="40.5" hidden="1" customHeight="1" x14ac:dyDescent="0.3">
      <c r="A663" s="143" t="s">
        <v>425</v>
      </c>
      <c r="B663" s="14" t="s">
        <v>864</v>
      </c>
      <c r="C663" s="14" t="s">
        <v>59</v>
      </c>
      <c r="D663" s="198">
        <f>'В-25'!G795</f>
        <v>0</v>
      </c>
      <c r="E663" s="81"/>
    </row>
    <row r="664" spans="1:5" ht="98.45" hidden="1" customHeight="1" x14ac:dyDescent="0.3">
      <c r="A664" s="143" t="s">
        <v>1073</v>
      </c>
      <c r="B664" s="44" t="s">
        <v>963</v>
      </c>
      <c r="C664" s="14" t="s">
        <v>50</v>
      </c>
      <c r="D664" s="198">
        <f>D665</f>
        <v>0</v>
      </c>
      <c r="E664" s="81"/>
    </row>
    <row r="665" spans="1:5" ht="40.5" hidden="1" customHeight="1" x14ac:dyDescent="0.3">
      <c r="A665" s="143" t="s">
        <v>425</v>
      </c>
      <c r="B665" s="44" t="s">
        <v>963</v>
      </c>
      <c r="C665" s="44" t="s">
        <v>59</v>
      </c>
      <c r="D665" s="198">
        <f>'В-25'!G797</f>
        <v>0</v>
      </c>
      <c r="E665" s="81"/>
    </row>
    <row r="666" spans="1:5" ht="86.25" hidden="1" customHeight="1" x14ac:dyDescent="0.3">
      <c r="A666" s="143" t="s">
        <v>1074</v>
      </c>
      <c r="B666" s="44" t="s">
        <v>964</v>
      </c>
      <c r="C666" s="44" t="s">
        <v>50</v>
      </c>
      <c r="D666" s="198">
        <f>D667</f>
        <v>0</v>
      </c>
      <c r="E666" s="81"/>
    </row>
    <row r="667" spans="1:5" ht="40.5" hidden="1" customHeight="1" x14ac:dyDescent="0.3">
      <c r="A667" s="143" t="s">
        <v>425</v>
      </c>
      <c r="B667" s="44" t="s">
        <v>964</v>
      </c>
      <c r="C667" s="44" t="s">
        <v>59</v>
      </c>
      <c r="D667" s="198">
        <f>'В-25'!G799</f>
        <v>0</v>
      </c>
      <c r="E667" s="81"/>
    </row>
    <row r="668" spans="1:5" ht="90" hidden="1" customHeight="1" x14ac:dyDescent="0.3">
      <c r="A668" s="143" t="s">
        <v>1075</v>
      </c>
      <c r="B668" s="14" t="s">
        <v>1025</v>
      </c>
      <c r="C668" s="14" t="s">
        <v>50</v>
      </c>
      <c r="D668" s="72">
        <f>D669</f>
        <v>0</v>
      </c>
      <c r="E668" s="81"/>
    </row>
    <row r="669" spans="1:5" ht="42.75" hidden="1" customHeight="1" x14ac:dyDescent="0.3">
      <c r="A669" s="143" t="s">
        <v>425</v>
      </c>
      <c r="B669" s="14" t="s">
        <v>1025</v>
      </c>
      <c r="C669" s="44" t="s">
        <v>59</v>
      </c>
      <c r="D669" s="72">
        <f>'В-25'!G801</f>
        <v>0</v>
      </c>
      <c r="E669" s="81"/>
    </row>
    <row r="670" spans="1:5" ht="100.5" hidden="1" customHeight="1" x14ac:dyDescent="0.3">
      <c r="A670" s="143" t="s">
        <v>1076</v>
      </c>
      <c r="B670" s="14" t="s">
        <v>1026</v>
      </c>
      <c r="C670" s="14" t="s">
        <v>50</v>
      </c>
      <c r="D670" s="72">
        <f>D671</f>
        <v>0</v>
      </c>
      <c r="E670" s="81"/>
    </row>
    <row r="671" spans="1:5" ht="41.25" hidden="1" customHeight="1" x14ac:dyDescent="0.3">
      <c r="A671" s="143" t="s">
        <v>425</v>
      </c>
      <c r="B671" s="14" t="s">
        <v>1026</v>
      </c>
      <c r="C671" s="44" t="s">
        <v>59</v>
      </c>
      <c r="D671" s="72">
        <f>'В-25'!G803</f>
        <v>0</v>
      </c>
      <c r="E671" s="81"/>
    </row>
    <row r="672" spans="1:5" ht="99" hidden="1" customHeight="1" x14ac:dyDescent="0.3">
      <c r="A672" s="143" t="s">
        <v>1077</v>
      </c>
      <c r="B672" s="14" t="s">
        <v>1027</v>
      </c>
      <c r="C672" s="14" t="s">
        <v>50</v>
      </c>
      <c r="D672" s="72">
        <f>D673</f>
        <v>0</v>
      </c>
      <c r="E672" s="81"/>
    </row>
    <row r="673" spans="1:5" ht="43.5" hidden="1" customHeight="1" x14ac:dyDescent="0.3">
      <c r="A673" s="143" t="s">
        <v>425</v>
      </c>
      <c r="B673" s="14" t="s">
        <v>1027</v>
      </c>
      <c r="C673" s="44" t="s">
        <v>59</v>
      </c>
      <c r="D673" s="72">
        <f>'В-25'!G805</f>
        <v>0</v>
      </c>
      <c r="E673" s="81"/>
    </row>
    <row r="674" spans="1:5" ht="110.25" hidden="1" customHeight="1" x14ac:dyDescent="0.3">
      <c r="A674" s="143" t="s">
        <v>1078</v>
      </c>
      <c r="B674" s="14" t="s">
        <v>1028</v>
      </c>
      <c r="C674" s="14" t="s">
        <v>50</v>
      </c>
      <c r="D674" s="72">
        <f>D675</f>
        <v>0</v>
      </c>
      <c r="E674" s="81"/>
    </row>
    <row r="675" spans="1:5" ht="51" hidden="1" customHeight="1" x14ac:dyDescent="0.3">
      <c r="A675" s="143" t="s">
        <v>425</v>
      </c>
      <c r="B675" s="14" t="s">
        <v>1028</v>
      </c>
      <c r="C675" s="15" t="s">
        <v>59</v>
      </c>
      <c r="D675" s="72">
        <f>'В-25'!G807</f>
        <v>0</v>
      </c>
      <c r="E675" s="81"/>
    </row>
    <row r="676" spans="1:5" ht="95.25" hidden="1" customHeight="1" x14ac:dyDescent="0.3">
      <c r="A676" s="143" t="s">
        <v>1079</v>
      </c>
      <c r="B676" s="44" t="s">
        <v>1029</v>
      </c>
      <c r="C676" s="14" t="s">
        <v>50</v>
      </c>
      <c r="D676" s="72">
        <f>D677</f>
        <v>0</v>
      </c>
      <c r="E676" s="81"/>
    </row>
    <row r="677" spans="1:5" ht="51" hidden="1" customHeight="1" x14ac:dyDescent="0.3">
      <c r="A677" s="143" t="s">
        <v>425</v>
      </c>
      <c r="B677" s="44" t="s">
        <v>1029</v>
      </c>
      <c r="C677" s="15" t="s">
        <v>59</v>
      </c>
      <c r="D677" s="72">
        <f>'В-25'!G809</f>
        <v>0</v>
      </c>
      <c r="E677" s="81"/>
    </row>
    <row r="678" spans="1:5" ht="105.75" hidden="1" customHeight="1" x14ac:dyDescent="0.3">
      <c r="A678" s="143" t="s">
        <v>1080</v>
      </c>
      <c r="B678" s="44" t="s">
        <v>1030</v>
      </c>
      <c r="C678" s="44" t="s">
        <v>50</v>
      </c>
      <c r="D678" s="72">
        <f>D679</f>
        <v>0</v>
      </c>
      <c r="E678" s="81"/>
    </row>
    <row r="679" spans="1:5" ht="45" hidden="1" customHeight="1" x14ac:dyDescent="0.3">
      <c r="A679" s="143" t="s">
        <v>425</v>
      </c>
      <c r="B679" s="44" t="s">
        <v>1030</v>
      </c>
      <c r="C679" s="44" t="s">
        <v>59</v>
      </c>
      <c r="D679" s="72">
        <f>'В-25'!G811</f>
        <v>0</v>
      </c>
      <c r="E679" s="81"/>
    </row>
    <row r="680" spans="1:5" ht="96" hidden="1" customHeight="1" x14ac:dyDescent="0.3">
      <c r="A680" s="143" t="s">
        <v>1081</v>
      </c>
      <c r="B680" s="14" t="s">
        <v>1031</v>
      </c>
      <c r="C680" s="44" t="s">
        <v>50</v>
      </c>
      <c r="D680" s="72">
        <f>D681</f>
        <v>0</v>
      </c>
      <c r="E680" s="81"/>
    </row>
    <row r="681" spans="1:5" ht="45" hidden="1" customHeight="1" x14ac:dyDescent="0.3">
      <c r="A681" s="143" t="s">
        <v>425</v>
      </c>
      <c r="B681" s="14" t="s">
        <v>1031</v>
      </c>
      <c r="C681" s="44" t="s">
        <v>59</v>
      </c>
      <c r="D681" s="72">
        <f>'В-25'!G813</f>
        <v>0</v>
      </c>
      <c r="E681" s="81"/>
    </row>
    <row r="682" spans="1:5" ht="93.75" hidden="1" customHeight="1" x14ac:dyDescent="0.3">
      <c r="A682" s="143" t="s">
        <v>1082</v>
      </c>
      <c r="B682" s="14" t="s">
        <v>1032</v>
      </c>
      <c r="C682" s="44" t="s">
        <v>50</v>
      </c>
      <c r="D682" s="72">
        <f>D683</f>
        <v>0</v>
      </c>
      <c r="E682" s="81"/>
    </row>
    <row r="683" spans="1:5" ht="27" hidden="1" customHeight="1" x14ac:dyDescent="0.3">
      <c r="A683" s="143" t="s">
        <v>58</v>
      </c>
      <c r="B683" s="14" t="s">
        <v>1032</v>
      </c>
      <c r="C683" s="44" t="s">
        <v>59</v>
      </c>
      <c r="D683" s="72">
        <f>'В-25'!G1027</f>
        <v>0</v>
      </c>
      <c r="E683" s="81"/>
    </row>
    <row r="684" spans="1:5" ht="125.1" hidden="1" customHeight="1" x14ac:dyDescent="0.3">
      <c r="A684" s="143" t="s">
        <v>1083</v>
      </c>
      <c r="B684" s="14" t="s">
        <v>1033</v>
      </c>
      <c r="C684" s="14" t="s">
        <v>50</v>
      </c>
      <c r="D684" s="72">
        <f>D685</f>
        <v>0</v>
      </c>
      <c r="E684" s="81"/>
    </row>
    <row r="685" spans="1:5" ht="42.75" hidden="1" customHeight="1" x14ac:dyDescent="0.3">
      <c r="A685" s="143" t="s">
        <v>58</v>
      </c>
      <c r="B685" s="14" t="s">
        <v>1033</v>
      </c>
      <c r="C685" s="14" t="s">
        <v>59</v>
      </c>
      <c r="D685" s="72">
        <f>'В-25'!G1029</f>
        <v>0</v>
      </c>
      <c r="E685" s="81"/>
    </row>
    <row r="686" spans="1:5" ht="93.75" hidden="1" customHeight="1" x14ac:dyDescent="0.3">
      <c r="A686" s="143" t="s">
        <v>1097</v>
      </c>
      <c r="B686" s="14" t="s">
        <v>1034</v>
      </c>
      <c r="C686" s="14" t="s">
        <v>50</v>
      </c>
      <c r="D686" s="72">
        <f>D687</f>
        <v>0</v>
      </c>
      <c r="E686" s="81"/>
    </row>
    <row r="687" spans="1:5" ht="42.75" hidden="1" customHeight="1" x14ac:dyDescent="0.3">
      <c r="A687" s="143" t="s">
        <v>425</v>
      </c>
      <c r="B687" s="14" t="s">
        <v>1034</v>
      </c>
      <c r="C687" s="14" t="s">
        <v>59</v>
      </c>
      <c r="D687" s="72">
        <f>'В-25'!G1553</f>
        <v>0</v>
      </c>
      <c r="E687" s="81"/>
    </row>
    <row r="688" spans="1:5" ht="93" hidden="1" customHeight="1" x14ac:dyDescent="0.3">
      <c r="A688" s="143" t="s">
        <v>1085</v>
      </c>
      <c r="B688" s="14" t="s">
        <v>1035</v>
      </c>
      <c r="C688" s="44" t="s">
        <v>50</v>
      </c>
      <c r="D688" s="72">
        <f>D689</f>
        <v>0</v>
      </c>
      <c r="E688" s="81"/>
    </row>
    <row r="689" spans="1:5" ht="42.75" hidden="1" customHeight="1" x14ac:dyDescent="0.3">
      <c r="A689" s="143" t="s">
        <v>425</v>
      </c>
      <c r="B689" s="14" t="s">
        <v>1035</v>
      </c>
      <c r="C689" s="44" t="s">
        <v>59</v>
      </c>
      <c r="D689" s="72">
        <f>'В-25'!G1555</f>
        <v>0</v>
      </c>
      <c r="E689" s="81"/>
    </row>
    <row r="690" spans="1:5" ht="130.5" hidden="1" customHeight="1" x14ac:dyDescent="0.3">
      <c r="A690" s="143" t="s">
        <v>1084</v>
      </c>
      <c r="B690" s="14" t="s">
        <v>1036</v>
      </c>
      <c r="C690" s="44" t="s">
        <v>50</v>
      </c>
      <c r="D690" s="72">
        <f>D691</f>
        <v>0</v>
      </c>
      <c r="E690" s="81"/>
    </row>
    <row r="691" spans="1:5" ht="42.75" hidden="1" customHeight="1" x14ac:dyDescent="0.3">
      <c r="A691" s="143" t="s">
        <v>264</v>
      </c>
      <c r="B691" s="14" t="s">
        <v>1036</v>
      </c>
      <c r="C691" s="1">
        <v>600</v>
      </c>
      <c r="D691" s="72">
        <f>'В-25'!G1399</f>
        <v>0</v>
      </c>
      <c r="E691" s="81"/>
    </row>
    <row r="692" spans="1:5" ht="108.75" hidden="1" customHeight="1" x14ac:dyDescent="0.3">
      <c r="A692" s="143" t="s">
        <v>1086</v>
      </c>
      <c r="B692" s="14" t="s">
        <v>1037</v>
      </c>
      <c r="C692" s="44" t="s">
        <v>50</v>
      </c>
      <c r="D692" s="72">
        <f>D693</f>
        <v>0</v>
      </c>
      <c r="E692" s="81"/>
    </row>
    <row r="693" spans="1:5" ht="42.75" hidden="1" customHeight="1" x14ac:dyDescent="0.3">
      <c r="A693" s="143" t="s">
        <v>264</v>
      </c>
      <c r="B693" s="14" t="s">
        <v>1037</v>
      </c>
      <c r="C693" s="1">
        <v>600</v>
      </c>
      <c r="D693" s="72">
        <f>'В-25'!G1557</f>
        <v>0</v>
      </c>
      <c r="E693" s="81"/>
    </row>
    <row r="694" spans="1:5" ht="123" hidden="1" customHeight="1" x14ac:dyDescent="0.3">
      <c r="A694" s="143" t="s">
        <v>1087</v>
      </c>
      <c r="B694" s="14" t="s">
        <v>1038</v>
      </c>
      <c r="C694" s="44" t="s">
        <v>50</v>
      </c>
      <c r="D694" s="72">
        <f>D695</f>
        <v>0</v>
      </c>
      <c r="E694" s="81"/>
    </row>
    <row r="695" spans="1:5" ht="42.75" hidden="1" customHeight="1" x14ac:dyDescent="0.3">
      <c r="A695" s="143" t="s">
        <v>264</v>
      </c>
      <c r="B695" s="14" t="s">
        <v>1038</v>
      </c>
      <c r="C695" s="1">
        <v>600</v>
      </c>
      <c r="D695" s="72">
        <f>'В-25'!G1401</f>
        <v>0</v>
      </c>
      <c r="E695" s="81"/>
    </row>
    <row r="696" spans="1:5" ht="117.75" hidden="1" customHeight="1" x14ac:dyDescent="0.3">
      <c r="A696" s="143" t="s">
        <v>840</v>
      </c>
      <c r="B696" s="14" t="s">
        <v>865</v>
      </c>
      <c r="C696" s="14" t="s">
        <v>50</v>
      </c>
      <c r="D696" s="72">
        <f>D697</f>
        <v>0</v>
      </c>
      <c r="E696" s="81"/>
    </row>
    <row r="697" spans="1:5" ht="42.75" hidden="1" customHeight="1" x14ac:dyDescent="0.3">
      <c r="A697" s="143" t="s">
        <v>264</v>
      </c>
      <c r="B697" s="14" t="s">
        <v>865</v>
      </c>
      <c r="C697" s="1">
        <v>600</v>
      </c>
      <c r="D697" s="72">
        <f>'В-25'!G1553</f>
        <v>0</v>
      </c>
      <c r="E697" s="81"/>
    </row>
    <row r="698" spans="1:5" ht="130.5" hidden="1" customHeight="1" x14ac:dyDescent="0.3">
      <c r="A698" s="143" t="s">
        <v>545</v>
      </c>
      <c r="B698" s="14" t="s">
        <v>549</v>
      </c>
      <c r="C698" s="14" t="s">
        <v>50</v>
      </c>
      <c r="D698" s="72">
        <f>D699</f>
        <v>0</v>
      </c>
      <c r="E698" s="81"/>
    </row>
    <row r="699" spans="1:5" ht="37.5" hidden="1" x14ac:dyDescent="0.3">
      <c r="A699" s="143" t="s">
        <v>425</v>
      </c>
      <c r="B699" s="14" t="s">
        <v>549</v>
      </c>
      <c r="C699" s="14" t="s">
        <v>59</v>
      </c>
      <c r="D699" s="72">
        <v>0</v>
      </c>
      <c r="E699" s="81"/>
    </row>
    <row r="700" spans="1:5" ht="75" hidden="1" x14ac:dyDescent="0.3">
      <c r="A700" s="143" t="s">
        <v>546</v>
      </c>
      <c r="B700" s="14" t="s">
        <v>540</v>
      </c>
      <c r="C700" s="14" t="s">
        <v>50</v>
      </c>
      <c r="D700" s="72">
        <f>D701</f>
        <v>0</v>
      </c>
      <c r="E700" s="81"/>
    </row>
    <row r="701" spans="1:5" ht="37.5" hidden="1" x14ac:dyDescent="0.3">
      <c r="A701" s="143" t="s">
        <v>425</v>
      </c>
      <c r="B701" s="14" t="s">
        <v>600</v>
      </c>
      <c r="C701" s="14" t="s">
        <v>59</v>
      </c>
      <c r="D701" s="72">
        <f>'В-25'!G216</f>
        <v>0</v>
      </c>
      <c r="E701" s="81"/>
    </row>
    <row r="702" spans="1:5" ht="75" hidden="1" x14ac:dyDescent="0.3">
      <c r="A702" s="143" t="s">
        <v>754</v>
      </c>
      <c r="B702" s="44" t="s">
        <v>751</v>
      </c>
      <c r="C702" s="14" t="s">
        <v>50</v>
      </c>
      <c r="D702" s="72">
        <f>D703</f>
        <v>0</v>
      </c>
      <c r="E702" s="81"/>
    </row>
    <row r="703" spans="1:5" ht="37.5" hidden="1" x14ac:dyDescent="0.3">
      <c r="A703" s="143" t="s">
        <v>425</v>
      </c>
      <c r="B703" s="44" t="s">
        <v>751</v>
      </c>
      <c r="C703" s="44" t="s">
        <v>59</v>
      </c>
      <c r="D703" s="72">
        <f>'В-25'!G1037</f>
        <v>0</v>
      </c>
      <c r="E703" s="81"/>
    </row>
    <row r="704" spans="1:5" ht="93.75" hidden="1" x14ac:dyDescent="0.3">
      <c r="A704" s="143" t="s">
        <v>765</v>
      </c>
      <c r="B704" s="44" t="s">
        <v>764</v>
      </c>
      <c r="C704" s="44" t="s">
        <v>50</v>
      </c>
      <c r="D704" s="72">
        <f>D705</f>
        <v>0</v>
      </c>
      <c r="E704" s="81"/>
    </row>
    <row r="705" spans="1:5" ht="37.5" hidden="1" x14ac:dyDescent="0.3">
      <c r="A705" s="143" t="s">
        <v>425</v>
      </c>
      <c r="B705" s="44" t="s">
        <v>764</v>
      </c>
      <c r="C705" s="44" t="s">
        <v>59</v>
      </c>
      <c r="D705" s="72">
        <f>'В-25'!G1039</f>
        <v>0</v>
      </c>
      <c r="E705" s="81"/>
    </row>
    <row r="706" spans="1:5" ht="93.75" hidden="1" x14ac:dyDescent="0.3">
      <c r="A706" s="143" t="s">
        <v>877</v>
      </c>
      <c r="B706" s="44" t="s">
        <v>878</v>
      </c>
      <c r="C706" s="14" t="s">
        <v>50</v>
      </c>
      <c r="D706" s="72">
        <f>D707</f>
        <v>0</v>
      </c>
      <c r="E706" s="81"/>
    </row>
    <row r="707" spans="1:5" ht="37.5" hidden="1" x14ac:dyDescent="0.3">
      <c r="A707" s="143" t="s">
        <v>425</v>
      </c>
      <c r="B707" s="44" t="s">
        <v>878</v>
      </c>
      <c r="C707" s="44" t="s">
        <v>59</v>
      </c>
      <c r="D707" s="72">
        <f>'В-25'!G1041</f>
        <v>0</v>
      </c>
      <c r="E707" s="81"/>
    </row>
    <row r="708" spans="1:5" ht="75" hidden="1" x14ac:dyDescent="0.3">
      <c r="A708" s="143" t="s">
        <v>879</v>
      </c>
      <c r="B708" s="44" t="s">
        <v>880</v>
      </c>
      <c r="C708" s="14" t="s">
        <v>50</v>
      </c>
      <c r="D708" s="72">
        <f>D709</f>
        <v>0</v>
      </c>
      <c r="E708" s="81"/>
    </row>
    <row r="709" spans="1:5" ht="37.5" hidden="1" x14ac:dyDescent="0.3">
      <c r="A709" s="143" t="s">
        <v>425</v>
      </c>
      <c r="B709" s="44" t="s">
        <v>880</v>
      </c>
      <c r="C709" s="44" t="s">
        <v>59</v>
      </c>
      <c r="D709" s="72">
        <f>'В-25'!G1043</f>
        <v>0</v>
      </c>
      <c r="E709" s="81"/>
    </row>
    <row r="710" spans="1:5" ht="112.5" hidden="1" x14ac:dyDescent="0.3">
      <c r="A710" s="143" t="s">
        <v>711</v>
      </c>
      <c r="B710" s="15" t="s">
        <v>881</v>
      </c>
      <c r="C710" s="15" t="s">
        <v>50</v>
      </c>
      <c r="D710" s="72">
        <f>D711</f>
        <v>0</v>
      </c>
      <c r="E710" s="81"/>
    </row>
    <row r="711" spans="1:5" ht="37.5" hidden="1" x14ac:dyDescent="0.3">
      <c r="A711" s="143" t="s">
        <v>264</v>
      </c>
      <c r="B711" s="15" t="s">
        <v>881</v>
      </c>
      <c r="C711" s="15" t="s">
        <v>261</v>
      </c>
      <c r="D711" s="72">
        <f>'В-25'!G1403</f>
        <v>0</v>
      </c>
      <c r="E711" s="81"/>
    </row>
    <row r="712" spans="1:5" ht="75" hidden="1" x14ac:dyDescent="0.3">
      <c r="A712" s="143" t="s">
        <v>882</v>
      </c>
      <c r="B712" s="44" t="s">
        <v>883</v>
      </c>
      <c r="C712" s="44" t="s">
        <v>50</v>
      </c>
      <c r="D712" s="72">
        <f>D713</f>
        <v>0</v>
      </c>
      <c r="E712" s="81"/>
    </row>
    <row r="713" spans="1:5" ht="37.5" hidden="1" x14ac:dyDescent="0.3">
      <c r="A713" s="143" t="s">
        <v>425</v>
      </c>
      <c r="B713" s="44" t="s">
        <v>883</v>
      </c>
      <c r="C713" s="44" t="s">
        <v>59</v>
      </c>
      <c r="D713" s="72">
        <f>'В-25'!G811</f>
        <v>0</v>
      </c>
      <c r="E713" s="81"/>
    </row>
    <row r="714" spans="1:5" s="225" customFormat="1" ht="56.25" hidden="1" x14ac:dyDescent="0.3">
      <c r="A714" s="169" t="s">
        <v>253</v>
      </c>
      <c r="B714" s="9" t="s">
        <v>256</v>
      </c>
      <c r="C714" s="9" t="s">
        <v>50</v>
      </c>
      <c r="D714" s="196">
        <f>D715+D718+D720+D722+D724+D726+D728+D730+D732+D734+D736+D738+D740+D742+D744+D746+D748+D793</f>
        <v>0</v>
      </c>
      <c r="E714" s="224"/>
    </row>
    <row r="715" spans="1:5" ht="93.75" hidden="1" x14ac:dyDescent="0.3">
      <c r="A715" s="143" t="s">
        <v>1072</v>
      </c>
      <c r="B715" s="14" t="s">
        <v>866</v>
      </c>
      <c r="C715" s="14" t="s">
        <v>50</v>
      </c>
      <c r="D715" s="72">
        <f>D717+D716</f>
        <v>0</v>
      </c>
      <c r="E715" s="81"/>
    </row>
    <row r="716" spans="1:5" ht="37.5" hidden="1" x14ac:dyDescent="0.3">
      <c r="A716" s="143" t="s">
        <v>425</v>
      </c>
      <c r="B716" s="14" t="s">
        <v>866</v>
      </c>
      <c r="C716" s="14" t="s">
        <v>59</v>
      </c>
      <c r="D716" s="72">
        <f>'В-25'!G815</f>
        <v>0</v>
      </c>
      <c r="E716" s="81"/>
    </row>
    <row r="717" spans="1:5" ht="37.5" hidden="1" x14ac:dyDescent="0.3">
      <c r="A717" s="143" t="s">
        <v>264</v>
      </c>
      <c r="B717" s="15" t="s">
        <v>599</v>
      </c>
      <c r="C717" s="15" t="s">
        <v>261</v>
      </c>
      <c r="D717" s="72">
        <f>'В-25'!G1352</f>
        <v>0</v>
      </c>
      <c r="E717" s="81"/>
    </row>
    <row r="718" spans="1:5" ht="112.5" hidden="1" x14ac:dyDescent="0.3">
      <c r="A718" s="143" t="s">
        <v>1088</v>
      </c>
      <c r="B718" s="14" t="s">
        <v>1039</v>
      </c>
      <c r="C718" s="44" t="s">
        <v>50</v>
      </c>
      <c r="D718" s="72">
        <f>D719</f>
        <v>0</v>
      </c>
      <c r="E718" s="81"/>
    </row>
    <row r="719" spans="1:5" ht="37.5" hidden="1" x14ac:dyDescent="0.3">
      <c r="A719" s="143" t="s">
        <v>425</v>
      </c>
      <c r="B719" s="14" t="s">
        <v>1039</v>
      </c>
      <c r="C719" s="44" t="s">
        <v>59</v>
      </c>
      <c r="D719" s="72">
        <f>'В-25'!G817</f>
        <v>0</v>
      </c>
      <c r="E719" s="81"/>
    </row>
    <row r="720" spans="1:5" ht="75" hidden="1" x14ac:dyDescent="0.3">
      <c r="A720" s="143" t="s">
        <v>1074</v>
      </c>
      <c r="B720" s="14" t="s">
        <v>1040</v>
      </c>
      <c r="C720" s="44" t="s">
        <v>50</v>
      </c>
      <c r="D720" s="72">
        <f>D721</f>
        <v>0</v>
      </c>
      <c r="E720" s="81"/>
    </row>
    <row r="721" spans="1:5" ht="37.5" hidden="1" x14ac:dyDescent="0.3">
      <c r="A721" s="143" t="s">
        <v>425</v>
      </c>
      <c r="B721" s="14" t="s">
        <v>1040</v>
      </c>
      <c r="C721" s="44" t="s">
        <v>59</v>
      </c>
      <c r="D721" s="72">
        <f>'В-25'!G819</f>
        <v>0</v>
      </c>
      <c r="E721" s="81"/>
    </row>
    <row r="722" spans="1:5" ht="112.5" hidden="1" x14ac:dyDescent="0.3">
      <c r="A722" s="143" t="s">
        <v>1089</v>
      </c>
      <c r="B722" s="14" t="s">
        <v>1041</v>
      </c>
      <c r="C722" s="44" t="s">
        <v>50</v>
      </c>
      <c r="D722" s="72">
        <f>D723</f>
        <v>0</v>
      </c>
      <c r="E722" s="81"/>
    </row>
    <row r="723" spans="1:5" ht="37.5" hidden="1" x14ac:dyDescent="0.3">
      <c r="A723" s="143" t="s">
        <v>425</v>
      </c>
      <c r="B723" s="14" t="s">
        <v>1041</v>
      </c>
      <c r="C723" s="44" t="s">
        <v>59</v>
      </c>
      <c r="D723" s="72">
        <f>'В-25'!G821</f>
        <v>0</v>
      </c>
      <c r="E723" s="81"/>
    </row>
    <row r="724" spans="1:5" ht="93.75" hidden="1" x14ac:dyDescent="0.3">
      <c r="A724" s="143" t="s">
        <v>1076</v>
      </c>
      <c r="B724" s="44" t="s">
        <v>1042</v>
      </c>
      <c r="C724" s="14" t="s">
        <v>50</v>
      </c>
      <c r="D724" s="72">
        <f>D725</f>
        <v>0</v>
      </c>
      <c r="E724" s="81"/>
    </row>
    <row r="725" spans="1:5" ht="37.5" hidden="1" x14ac:dyDescent="0.3">
      <c r="A725" s="143" t="s">
        <v>425</v>
      </c>
      <c r="B725" s="44" t="s">
        <v>1042</v>
      </c>
      <c r="C725" s="44" t="s">
        <v>59</v>
      </c>
      <c r="D725" s="72">
        <f>'В-25'!G823</f>
        <v>0</v>
      </c>
      <c r="E725" s="81"/>
    </row>
    <row r="726" spans="1:5" ht="93.75" hidden="1" x14ac:dyDescent="0.3">
      <c r="A726" s="143" t="s">
        <v>1090</v>
      </c>
      <c r="B726" s="44" t="s">
        <v>1043</v>
      </c>
      <c r="C726" s="14" t="s">
        <v>50</v>
      </c>
      <c r="D726" s="72">
        <f>D727</f>
        <v>0</v>
      </c>
      <c r="E726" s="81"/>
    </row>
    <row r="727" spans="1:5" ht="37.5" hidden="1" x14ac:dyDescent="0.3">
      <c r="A727" s="143" t="s">
        <v>425</v>
      </c>
      <c r="B727" s="44" t="s">
        <v>1043</v>
      </c>
      <c r="C727" s="44" t="s">
        <v>59</v>
      </c>
      <c r="D727" s="72">
        <f>'В-25'!G825</f>
        <v>0</v>
      </c>
      <c r="E727" s="81"/>
    </row>
    <row r="728" spans="1:5" ht="75" hidden="1" x14ac:dyDescent="0.3">
      <c r="A728" s="143" t="s">
        <v>1091</v>
      </c>
      <c r="B728" s="44" t="s">
        <v>1044</v>
      </c>
      <c r="C728" s="15" t="s">
        <v>50</v>
      </c>
      <c r="D728" s="72">
        <f>D729</f>
        <v>0</v>
      </c>
      <c r="E728" s="81"/>
    </row>
    <row r="729" spans="1:5" ht="37.5" hidden="1" x14ac:dyDescent="0.3">
      <c r="A729" s="143" t="s">
        <v>425</v>
      </c>
      <c r="B729" s="44" t="s">
        <v>1044</v>
      </c>
      <c r="C729" s="15" t="s">
        <v>59</v>
      </c>
      <c r="D729" s="72">
        <f>'В-25'!G827</f>
        <v>0</v>
      </c>
      <c r="E729" s="81"/>
    </row>
    <row r="730" spans="1:5" ht="75" hidden="1" x14ac:dyDescent="0.3">
      <c r="A730" s="143" t="s">
        <v>1092</v>
      </c>
      <c r="B730" s="44" t="s">
        <v>1045</v>
      </c>
      <c r="C730" s="15" t="s">
        <v>50</v>
      </c>
      <c r="D730" s="72">
        <f>D731</f>
        <v>0</v>
      </c>
      <c r="E730" s="81"/>
    </row>
    <row r="731" spans="1:5" ht="37.5" hidden="1" x14ac:dyDescent="0.3">
      <c r="A731" s="143" t="s">
        <v>425</v>
      </c>
      <c r="B731" s="44" t="s">
        <v>1045</v>
      </c>
      <c r="C731" s="15" t="s">
        <v>59</v>
      </c>
      <c r="D731" s="72">
        <f>'В-25'!G829</f>
        <v>0</v>
      </c>
      <c r="E731" s="81"/>
    </row>
    <row r="732" spans="1:5" ht="93.75" hidden="1" x14ac:dyDescent="0.3">
      <c r="A732" s="143" t="s">
        <v>1093</v>
      </c>
      <c r="B732" s="44" t="s">
        <v>1046</v>
      </c>
      <c r="C732" s="14" t="s">
        <v>50</v>
      </c>
      <c r="D732" s="72">
        <f>D733</f>
        <v>0</v>
      </c>
      <c r="E732" s="81"/>
    </row>
    <row r="733" spans="1:5" ht="37.5" hidden="1" x14ac:dyDescent="0.3">
      <c r="A733" s="143" t="s">
        <v>425</v>
      </c>
      <c r="B733" s="44" t="s">
        <v>1046</v>
      </c>
      <c r="C733" s="15" t="s">
        <v>59</v>
      </c>
      <c r="D733" s="72">
        <f>'В-25'!G831</f>
        <v>0</v>
      </c>
      <c r="E733" s="81"/>
    </row>
    <row r="734" spans="1:5" ht="93.75" hidden="1" x14ac:dyDescent="0.3">
      <c r="A734" s="143" t="s">
        <v>1094</v>
      </c>
      <c r="B734" s="14" t="s">
        <v>1047</v>
      </c>
      <c r="C734" s="14" t="s">
        <v>50</v>
      </c>
      <c r="D734" s="72">
        <f>D735</f>
        <v>0</v>
      </c>
      <c r="E734" s="81"/>
    </row>
    <row r="735" spans="1:5" ht="37.5" hidden="1" x14ac:dyDescent="0.3">
      <c r="A735" s="143" t="s">
        <v>264</v>
      </c>
      <c r="B735" s="14" t="s">
        <v>1047</v>
      </c>
      <c r="C735" s="1">
        <v>600</v>
      </c>
      <c r="D735" s="72">
        <f>'В-25'!G833</f>
        <v>0</v>
      </c>
      <c r="E735" s="81"/>
    </row>
    <row r="736" spans="1:5" ht="93.75" hidden="1" x14ac:dyDescent="0.3">
      <c r="A736" s="143" t="s">
        <v>1095</v>
      </c>
      <c r="B736" s="14" t="s">
        <v>1048</v>
      </c>
      <c r="C736" s="14" t="s">
        <v>50</v>
      </c>
      <c r="D736" s="72">
        <f>D737</f>
        <v>0</v>
      </c>
      <c r="E736" s="81"/>
    </row>
    <row r="737" spans="1:5" ht="37.5" hidden="1" x14ac:dyDescent="0.3">
      <c r="A737" s="143" t="s">
        <v>425</v>
      </c>
      <c r="B737" s="14" t="s">
        <v>1048</v>
      </c>
      <c r="C737" s="44" t="s">
        <v>59</v>
      </c>
      <c r="D737" s="72">
        <f>'В-25'!G1048</f>
        <v>0</v>
      </c>
      <c r="E737" s="81"/>
    </row>
    <row r="738" spans="1:5" ht="93.75" hidden="1" x14ac:dyDescent="0.3">
      <c r="A738" s="143" t="s">
        <v>1096</v>
      </c>
      <c r="B738" s="14" t="s">
        <v>1049</v>
      </c>
      <c r="C738" s="14" t="s">
        <v>50</v>
      </c>
      <c r="D738" s="72">
        <f>D739</f>
        <v>0</v>
      </c>
      <c r="E738" s="81"/>
    </row>
    <row r="739" spans="1:5" ht="37.5" hidden="1" x14ac:dyDescent="0.3">
      <c r="A739" s="143" t="s">
        <v>425</v>
      </c>
      <c r="B739" s="14" t="s">
        <v>1049</v>
      </c>
      <c r="C739" s="44" t="s">
        <v>59</v>
      </c>
      <c r="D739" s="72">
        <f>'В-25'!G1050</f>
        <v>0</v>
      </c>
      <c r="E739" s="81"/>
    </row>
    <row r="740" spans="1:5" ht="128.25" hidden="1" customHeight="1" x14ac:dyDescent="0.3">
      <c r="A740" s="143" t="s">
        <v>1097</v>
      </c>
      <c r="B740" s="14" t="s">
        <v>1050</v>
      </c>
      <c r="C740" s="44" t="s">
        <v>50</v>
      </c>
      <c r="D740" s="72">
        <f>D741</f>
        <v>0</v>
      </c>
      <c r="E740" s="81"/>
    </row>
    <row r="741" spans="1:5" ht="37.5" hidden="1" x14ac:dyDescent="0.3">
      <c r="A741" s="143" t="s">
        <v>425</v>
      </c>
      <c r="B741" s="14" t="s">
        <v>1050</v>
      </c>
      <c r="C741" s="44" t="s">
        <v>59</v>
      </c>
      <c r="D741" s="72">
        <f>'В-25'!G1559</f>
        <v>0</v>
      </c>
      <c r="E741" s="81"/>
    </row>
    <row r="742" spans="1:5" ht="93.75" hidden="1" x14ac:dyDescent="0.3">
      <c r="A742" s="143" t="s">
        <v>1085</v>
      </c>
      <c r="B742" s="44" t="s">
        <v>1051</v>
      </c>
      <c r="C742" s="14" t="s">
        <v>50</v>
      </c>
      <c r="D742" s="72">
        <f>D743</f>
        <v>0</v>
      </c>
      <c r="E742" s="81"/>
    </row>
    <row r="743" spans="1:5" ht="37.5" hidden="1" x14ac:dyDescent="0.3">
      <c r="A743" s="143" t="s">
        <v>425</v>
      </c>
      <c r="B743" s="44" t="s">
        <v>1051</v>
      </c>
      <c r="C743" s="44" t="s">
        <v>59</v>
      </c>
      <c r="D743" s="72">
        <f>'В-25'!G1563</f>
        <v>0</v>
      </c>
      <c r="E743" s="81"/>
    </row>
    <row r="744" spans="1:5" ht="93.75" hidden="1" x14ac:dyDescent="0.3">
      <c r="A744" s="143" t="s">
        <v>1084</v>
      </c>
      <c r="B744" s="14" t="s">
        <v>1052</v>
      </c>
      <c r="C744" s="44" t="s">
        <v>50</v>
      </c>
      <c r="D744" s="72">
        <f>D745</f>
        <v>0</v>
      </c>
      <c r="E744" s="81"/>
    </row>
    <row r="745" spans="1:5" ht="37.5" hidden="1" x14ac:dyDescent="0.3">
      <c r="A745" s="143" t="s">
        <v>264</v>
      </c>
      <c r="B745" s="14" t="s">
        <v>1052</v>
      </c>
      <c r="C745" s="44" t="s">
        <v>261</v>
      </c>
      <c r="D745" s="72">
        <f>'В-25'!G1405</f>
        <v>0</v>
      </c>
      <c r="E745" s="81"/>
    </row>
    <row r="746" spans="1:5" ht="93.75" hidden="1" x14ac:dyDescent="0.3">
      <c r="A746" s="143" t="s">
        <v>1086</v>
      </c>
      <c r="B746" s="14" t="s">
        <v>1053</v>
      </c>
      <c r="C746" s="44" t="s">
        <v>50</v>
      </c>
      <c r="D746" s="72">
        <f>D747</f>
        <v>0</v>
      </c>
      <c r="E746" s="81"/>
    </row>
    <row r="747" spans="1:5" ht="37.5" hidden="1" x14ac:dyDescent="0.3">
      <c r="A747" s="143" t="s">
        <v>264</v>
      </c>
      <c r="B747" s="14" t="s">
        <v>1053</v>
      </c>
      <c r="C747" s="44" t="s">
        <v>261</v>
      </c>
      <c r="D747" s="72">
        <f>'В-25'!G1565</f>
        <v>0</v>
      </c>
      <c r="E747" s="81"/>
    </row>
    <row r="748" spans="1:5" ht="131.25" hidden="1" x14ac:dyDescent="0.3">
      <c r="A748" s="143" t="s">
        <v>1098</v>
      </c>
      <c r="B748" s="14" t="s">
        <v>1054</v>
      </c>
      <c r="C748" s="44" t="s">
        <v>50</v>
      </c>
      <c r="D748" s="72">
        <f>D749</f>
        <v>0</v>
      </c>
      <c r="E748" s="81"/>
    </row>
    <row r="749" spans="1:5" ht="37.5" hidden="1" x14ac:dyDescent="0.3">
      <c r="A749" s="143" t="s">
        <v>264</v>
      </c>
      <c r="B749" s="14" t="s">
        <v>1054</v>
      </c>
      <c r="C749" s="44" t="s">
        <v>261</v>
      </c>
      <c r="D749" s="72">
        <f>'В-25'!G1407</f>
        <v>0</v>
      </c>
      <c r="E749" s="81"/>
    </row>
    <row r="750" spans="1:5" s="225" customFormat="1" ht="75" hidden="1" x14ac:dyDescent="0.3">
      <c r="A750" s="155" t="s">
        <v>730</v>
      </c>
      <c r="B750" s="41" t="s">
        <v>731</v>
      </c>
      <c r="C750" s="9" t="s">
        <v>50</v>
      </c>
      <c r="D750" s="196">
        <f>D751+D753+D755+D757+D777</f>
        <v>0</v>
      </c>
      <c r="E750" s="224"/>
    </row>
    <row r="751" spans="1:5" ht="112.5" hidden="1" x14ac:dyDescent="0.3">
      <c r="A751" s="143" t="s">
        <v>732</v>
      </c>
      <c r="B751" s="44" t="s">
        <v>733</v>
      </c>
      <c r="C751" s="14" t="s">
        <v>50</v>
      </c>
      <c r="D751" s="72">
        <f>D752</f>
        <v>0</v>
      </c>
      <c r="E751" s="81"/>
    </row>
    <row r="752" spans="1:5" ht="37.5" hidden="1" x14ac:dyDescent="0.3">
      <c r="A752" s="143" t="s">
        <v>425</v>
      </c>
      <c r="B752" s="44" t="s">
        <v>733</v>
      </c>
      <c r="C752" s="44" t="s">
        <v>59</v>
      </c>
      <c r="D752" s="72">
        <f>'В-25'!G1091</f>
        <v>0</v>
      </c>
      <c r="E752" s="81"/>
    </row>
    <row r="753" spans="1:5" ht="112.5" hidden="1" x14ac:dyDescent="0.3">
      <c r="A753" s="143" t="s">
        <v>735</v>
      </c>
      <c r="B753" s="44" t="s">
        <v>734</v>
      </c>
      <c r="C753" s="14" t="s">
        <v>50</v>
      </c>
      <c r="D753" s="72">
        <f>D754</f>
        <v>0</v>
      </c>
      <c r="E753" s="81"/>
    </row>
    <row r="754" spans="1:5" ht="37.5" hidden="1" x14ac:dyDescent="0.3">
      <c r="A754" s="143" t="s">
        <v>425</v>
      </c>
      <c r="B754" s="44" t="s">
        <v>734</v>
      </c>
      <c r="C754" s="44" t="s">
        <v>59</v>
      </c>
      <c r="D754" s="72">
        <f>'В-25'!G1093</f>
        <v>0</v>
      </c>
      <c r="E754" s="81"/>
    </row>
    <row r="755" spans="1:5" ht="93.75" hidden="1" x14ac:dyDescent="0.3">
      <c r="A755" s="143" t="s">
        <v>736</v>
      </c>
      <c r="B755" s="44" t="s">
        <v>744</v>
      </c>
      <c r="C755" s="14" t="s">
        <v>50</v>
      </c>
      <c r="D755" s="72">
        <f>D756</f>
        <v>0</v>
      </c>
      <c r="E755" s="81"/>
    </row>
    <row r="756" spans="1:5" ht="37.5" hidden="1" x14ac:dyDescent="0.3">
      <c r="A756" s="143" t="s">
        <v>425</v>
      </c>
      <c r="B756" s="44" t="s">
        <v>744</v>
      </c>
      <c r="C756" s="44" t="s">
        <v>59</v>
      </c>
      <c r="D756" s="72">
        <f>'В-25'!G1095</f>
        <v>0</v>
      </c>
      <c r="E756" s="81"/>
    </row>
    <row r="757" spans="1:5" ht="112.5" hidden="1" x14ac:dyDescent="0.3">
      <c r="A757" s="143" t="s">
        <v>738</v>
      </c>
      <c r="B757" s="44" t="s">
        <v>737</v>
      </c>
      <c r="C757" s="14" t="s">
        <v>50</v>
      </c>
      <c r="D757" s="72">
        <f>D758</f>
        <v>0</v>
      </c>
      <c r="E757" s="81"/>
    </row>
    <row r="758" spans="1:5" ht="37.5" hidden="1" x14ac:dyDescent="0.3">
      <c r="A758" s="143" t="s">
        <v>425</v>
      </c>
      <c r="B758" s="44" t="s">
        <v>737</v>
      </c>
      <c r="C758" s="44" t="s">
        <v>59</v>
      </c>
      <c r="D758" s="72">
        <f>'В-25'!G1097</f>
        <v>0</v>
      </c>
      <c r="E758" s="81"/>
    </row>
    <row r="759" spans="1:5" ht="93.75" hidden="1" x14ac:dyDescent="0.3">
      <c r="A759" s="143" t="s">
        <v>552</v>
      </c>
      <c r="B759" s="14" t="s">
        <v>597</v>
      </c>
      <c r="C759" s="14" t="s">
        <v>50</v>
      </c>
      <c r="D759" s="72">
        <f>D760</f>
        <v>0</v>
      </c>
      <c r="E759" s="81"/>
    </row>
    <row r="760" spans="1:5" ht="37.5" hidden="1" x14ac:dyDescent="0.3">
      <c r="A760" s="143" t="s">
        <v>425</v>
      </c>
      <c r="B760" s="14" t="s">
        <v>597</v>
      </c>
      <c r="C760" s="14" t="s">
        <v>59</v>
      </c>
      <c r="D760" s="72">
        <f>'В-25'!G484</f>
        <v>0</v>
      </c>
      <c r="E760" s="81"/>
    </row>
    <row r="761" spans="1:5" ht="112.5" hidden="1" x14ac:dyDescent="0.3">
      <c r="A761" s="143" t="s">
        <v>570</v>
      </c>
      <c r="B761" s="44" t="s">
        <v>596</v>
      </c>
      <c r="C761" s="14" t="s">
        <v>50</v>
      </c>
      <c r="D761" s="72">
        <f>D762</f>
        <v>0</v>
      </c>
      <c r="E761" s="81"/>
    </row>
    <row r="762" spans="1:5" ht="37.5" hidden="1" x14ac:dyDescent="0.3">
      <c r="A762" s="143" t="s">
        <v>425</v>
      </c>
      <c r="B762" s="44" t="s">
        <v>596</v>
      </c>
      <c r="C762" s="14" t="s">
        <v>59</v>
      </c>
      <c r="D762" s="72">
        <f>'В-25'!G1052</f>
        <v>0</v>
      </c>
      <c r="E762" s="81"/>
    </row>
    <row r="763" spans="1:5" ht="75" hidden="1" x14ac:dyDescent="0.3">
      <c r="A763" s="143" t="s">
        <v>564</v>
      </c>
      <c r="B763" s="44" t="s">
        <v>595</v>
      </c>
      <c r="C763" s="14" t="s">
        <v>50</v>
      </c>
      <c r="D763" s="72">
        <f>D764</f>
        <v>0</v>
      </c>
      <c r="E763" s="81"/>
    </row>
    <row r="764" spans="1:5" ht="37.5" hidden="1" x14ac:dyDescent="0.3">
      <c r="A764" s="143" t="s">
        <v>425</v>
      </c>
      <c r="B764" s="44" t="s">
        <v>595</v>
      </c>
      <c r="C764" s="14" t="s">
        <v>59</v>
      </c>
      <c r="D764" s="72">
        <f>'В-25'!G823</f>
        <v>0</v>
      </c>
      <c r="E764" s="81"/>
    </row>
    <row r="765" spans="1:5" ht="93.75" hidden="1" x14ac:dyDescent="0.3">
      <c r="A765" s="143" t="s">
        <v>565</v>
      </c>
      <c r="B765" s="44" t="s">
        <v>594</v>
      </c>
      <c r="C765" s="14" t="s">
        <v>50</v>
      </c>
      <c r="D765" s="72">
        <f>D766</f>
        <v>0</v>
      </c>
      <c r="E765" s="81"/>
    </row>
    <row r="766" spans="1:5" ht="37.5" hidden="1" x14ac:dyDescent="0.3">
      <c r="A766" s="143" t="s">
        <v>425</v>
      </c>
      <c r="B766" s="44" t="s">
        <v>594</v>
      </c>
      <c r="C766" s="14" t="s">
        <v>59</v>
      </c>
      <c r="D766" s="72">
        <f>'В-25'!G825</f>
        <v>0</v>
      </c>
      <c r="E766" s="81"/>
    </row>
    <row r="767" spans="1:5" ht="93.75" hidden="1" x14ac:dyDescent="0.3">
      <c r="A767" s="143" t="s">
        <v>571</v>
      </c>
      <c r="B767" s="44" t="s">
        <v>593</v>
      </c>
      <c r="C767" s="14" t="s">
        <v>50</v>
      </c>
      <c r="D767" s="72">
        <f>D768</f>
        <v>0</v>
      </c>
      <c r="E767" s="81"/>
    </row>
    <row r="768" spans="1:5" ht="37.5" hidden="1" x14ac:dyDescent="0.3">
      <c r="A768" s="143" t="s">
        <v>425</v>
      </c>
      <c r="B768" s="44" t="s">
        <v>593</v>
      </c>
      <c r="C768" s="14" t="s">
        <v>59</v>
      </c>
      <c r="D768" s="72">
        <f>'В-25'!G1054</f>
        <v>0</v>
      </c>
      <c r="E768" s="81"/>
    </row>
    <row r="769" spans="1:5" ht="93.75" hidden="1" x14ac:dyDescent="0.3">
      <c r="A769" s="143" t="s">
        <v>566</v>
      </c>
      <c r="B769" s="44" t="s">
        <v>592</v>
      </c>
      <c r="C769" s="14" t="s">
        <v>50</v>
      </c>
      <c r="D769" s="72">
        <f>D770</f>
        <v>0</v>
      </c>
      <c r="E769" s="81"/>
    </row>
    <row r="770" spans="1:5" ht="37.5" hidden="1" x14ac:dyDescent="0.3">
      <c r="A770" s="143" t="s">
        <v>425</v>
      </c>
      <c r="B770" s="44" t="s">
        <v>592</v>
      </c>
      <c r="C770" s="14" t="s">
        <v>59</v>
      </c>
      <c r="D770" s="72">
        <f>'В-25'!G827</f>
        <v>0</v>
      </c>
      <c r="E770" s="81"/>
    </row>
    <row r="771" spans="1:5" ht="112.5" hidden="1" x14ac:dyDescent="0.3">
      <c r="A771" s="143" t="s">
        <v>577</v>
      </c>
      <c r="B771" s="15" t="s">
        <v>576</v>
      </c>
      <c r="C771" s="14" t="s">
        <v>50</v>
      </c>
      <c r="D771" s="72">
        <f>D772</f>
        <v>0</v>
      </c>
      <c r="E771" s="81"/>
    </row>
    <row r="772" spans="1:5" ht="37.5" hidden="1" x14ac:dyDescent="0.3">
      <c r="A772" s="143" t="s">
        <v>264</v>
      </c>
      <c r="B772" s="15" t="s">
        <v>576</v>
      </c>
      <c r="C772" s="1">
        <v>600</v>
      </c>
      <c r="D772" s="72">
        <f>'В-25'!G1561</f>
        <v>0</v>
      </c>
      <c r="E772" s="81"/>
    </row>
    <row r="773" spans="1:5" ht="156.75" hidden="1" customHeight="1" x14ac:dyDescent="0.3">
      <c r="A773" s="143" t="s">
        <v>545</v>
      </c>
      <c r="B773" s="14" t="s">
        <v>590</v>
      </c>
      <c r="C773" s="14" t="s">
        <v>50</v>
      </c>
      <c r="D773" s="72">
        <f>D774</f>
        <v>0</v>
      </c>
      <c r="E773" s="81"/>
    </row>
    <row r="774" spans="1:5" ht="37.5" hidden="1" x14ac:dyDescent="0.3">
      <c r="A774" s="143" t="s">
        <v>425</v>
      </c>
      <c r="B774" s="14" t="s">
        <v>590</v>
      </c>
      <c r="C774" s="14" t="s">
        <v>59</v>
      </c>
      <c r="D774" s="72">
        <f>'В-25'!G224</f>
        <v>0</v>
      </c>
      <c r="E774" s="81"/>
    </row>
    <row r="775" spans="1:5" ht="75" hidden="1" x14ac:dyDescent="0.3">
      <c r="A775" s="143" t="s">
        <v>546</v>
      </c>
      <c r="B775" s="14" t="s">
        <v>591</v>
      </c>
      <c r="C775" s="14" t="s">
        <v>50</v>
      </c>
      <c r="D775" s="72">
        <f>D776</f>
        <v>0</v>
      </c>
      <c r="E775" s="81"/>
    </row>
    <row r="776" spans="1:5" ht="37.5" hidden="1" x14ac:dyDescent="0.3">
      <c r="A776" s="143" t="s">
        <v>425</v>
      </c>
      <c r="B776" s="14" t="s">
        <v>591</v>
      </c>
      <c r="C776" s="14" t="s">
        <v>59</v>
      </c>
      <c r="D776" s="72">
        <f>'В-25'!G226</f>
        <v>0</v>
      </c>
      <c r="E776" s="81"/>
    </row>
    <row r="777" spans="1:5" ht="131.25" hidden="1" x14ac:dyDescent="0.3">
      <c r="A777" s="143" t="s">
        <v>739</v>
      </c>
      <c r="B777" s="44" t="s">
        <v>740</v>
      </c>
      <c r="C777" s="14" t="s">
        <v>50</v>
      </c>
      <c r="D777" s="72">
        <f>D778</f>
        <v>0</v>
      </c>
      <c r="E777" s="81"/>
    </row>
    <row r="778" spans="1:5" ht="37.5" hidden="1" x14ac:dyDescent="0.3">
      <c r="A778" s="143" t="s">
        <v>264</v>
      </c>
      <c r="B778" s="44" t="s">
        <v>740</v>
      </c>
      <c r="C778" s="44" t="s">
        <v>261</v>
      </c>
      <c r="D778" s="72">
        <f>'В-25'!G1380</f>
        <v>0</v>
      </c>
      <c r="E778" s="81"/>
    </row>
    <row r="779" spans="1:5" ht="112.5" hidden="1" x14ac:dyDescent="0.3">
      <c r="A779" s="143" t="s">
        <v>840</v>
      </c>
      <c r="B779" s="14" t="s">
        <v>867</v>
      </c>
      <c r="C779" s="44" t="s">
        <v>50</v>
      </c>
      <c r="D779" s="72">
        <f>D780</f>
        <v>0</v>
      </c>
      <c r="E779" s="81"/>
    </row>
    <row r="780" spans="1:5" ht="37.5" hidden="1" x14ac:dyDescent="0.3">
      <c r="A780" s="143" t="s">
        <v>264</v>
      </c>
      <c r="B780" s="14" t="s">
        <v>867</v>
      </c>
      <c r="C780" s="44" t="s">
        <v>261</v>
      </c>
      <c r="D780" s="72">
        <f>'В-25'!G1559</f>
        <v>0</v>
      </c>
      <c r="E780" s="81"/>
    </row>
    <row r="781" spans="1:5" ht="93.75" hidden="1" x14ac:dyDescent="0.3">
      <c r="A781" s="143" t="s">
        <v>877</v>
      </c>
      <c r="B781" s="44" t="s">
        <v>884</v>
      </c>
      <c r="C781" s="14" t="s">
        <v>50</v>
      </c>
      <c r="D781" s="72">
        <f>D782</f>
        <v>0</v>
      </c>
      <c r="E781" s="81"/>
    </row>
    <row r="782" spans="1:5" ht="37.5" hidden="1" x14ac:dyDescent="0.3">
      <c r="A782" s="143" t="s">
        <v>425</v>
      </c>
      <c r="B782" s="44" t="s">
        <v>884</v>
      </c>
      <c r="C782" s="44" t="s">
        <v>59</v>
      </c>
      <c r="D782" s="72">
        <f>'В-25'!G1064</f>
        <v>0</v>
      </c>
      <c r="E782" s="81"/>
    </row>
    <row r="783" spans="1:5" ht="75" hidden="1" x14ac:dyDescent="0.3">
      <c r="A783" s="143" t="s">
        <v>879</v>
      </c>
      <c r="B783" s="44" t="s">
        <v>885</v>
      </c>
      <c r="C783" s="14" t="s">
        <v>50</v>
      </c>
      <c r="D783" s="72">
        <f>D784</f>
        <v>0</v>
      </c>
      <c r="E783" s="81"/>
    </row>
    <row r="784" spans="1:5" ht="37.5" hidden="1" x14ac:dyDescent="0.3">
      <c r="A784" s="143" t="s">
        <v>425</v>
      </c>
      <c r="B784" s="44" t="s">
        <v>885</v>
      </c>
      <c r="C784" s="44" t="s">
        <v>59</v>
      </c>
      <c r="D784" s="72">
        <f>'В-25'!G1066</f>
        <v>0</v>
      </c>
      <c r="E784" s="81"/>
    </row>
    <row r="785" spans="1:5" ht="112.5" hidden="1" x14ac:dyDescent="0.3">
      <c r="A785" s="143" t="s">
        <v>711</v>
      </c>
      <c r="B785" s="15" t="s">
        <v>890</v>
      </c>
      <c r="C785" s="15" t="s">
        <v>50</v>
      </c>
      <c r="D785" s="72">
        <f>D786</f>
        <v>0</v>
      </c>
      <c r="E785" s="81"/>
    </row>
    <row r="786" spans="1:5" ht="37.5" hidden="1" x14ac:dyDescent="0.3">
      <c r="A786" s="143" t="s">
        <v>264</v>
      </c>
      <c r="B786" s="15" t="s">
        <v>890</v>
      </c>
      <c r="C786" s="15" t="s">
        <v>261</v>
      </c>
      <c r="D786" s="72">
        <f>'В-25'!G1409</f>
        <v>0</v>
      </c>
      <c r="E786" s="81"/>
    </row>
    <row r="787" spans="1:5" ht="75" hidden="1" x14ac:dyDescent="0.3">
      <c r="A787" s="143" t="s">
        <v>882</v>
      </c>
      <c r="B787" s="44" t="s">
        <v>892</v>
      </c>
      <c r="C787" s="44" t="s">
        <v>50</v>
      </c>
      <c r="D787" s="72">
        <f>D788</f>
        <v>0</v>
      </c>
      <c r="E787" s="81"/>
    </row>
    <row r="788" spans="1:5" ht="37.5" hidden="1" x14ac:dyDescent="0.3">
      <c r="A788" s="143" t="s">
        <v>425</v>
      </c>
      <c r="B788" s="44" t="s">
        <v>892</v>
      </c>
      <c r="C788" s="44" t="s">
        <v>59</v>
      </c>
      <c r="D788" s="72">
        <f>'В-25'!G831</f>
        <v>0</v>
      </c>
      <c r="E788" s="81"/>
    </row>
    <row r="789" spans="1:5" ht="75" hidden="1" x14ac:dyDescent="0.3">
      <c r="A789" s="143" t="s">
        <v>906</v>
      </c>
      <c r="B789" s="44" t="s">
        <v>915</v>
      </c>
      <c r="C789" s="14" t="s">
        <v>50</v>
      </c>
      <c r="D789" s="72">
        <f>D790</f>
        <v>0</v>
      </c>
      <c r="E789" s="81"/>
    </row>
    <row r="790" spans="1:5" ht="37.5" hidden="1" x14ac:dyDescent="0.3">
      <c r="A790" s="143" t="s">
        <v>425</v>
      </c>
      <c r="B790" s="44" t="s">
        <v>915</v>
      </c>
      <c r="C790" s="44" t="s">
        <v>59</v>
      </c>
      <c r="D790" s="72">
        <f>'В-25'!G1068</f>
        <v>0</v>
      </c>
      <c r="E790" s="81"/>
    </row>
    <row r="791" spans="1:5" ht="93.75" hidden="1" x14ac:dyDescent="0.3">
      <c r="A791" s="143" t="s">
        <v>907</v>
      </c>
      <c r="B791" s="44" t="s">
        <v>916</v>
      </c>
      <c r="C791" s="44" t="s">
        <v>50</v>
      </c>
      <c r="D791" s="72">
        <f>D792</f>
        <v>0</v>
      </c>
      <c r="E791" s="81"/>
    </row>
    <row r="792" spans="1:5" ht="37.5" hidden="1" x14ac:dyDescent="0.3">
      <c r="A792" s="143" t="s">
        <v>425</v>
      </c>
      <c r="B792" s="44" t="s">
        <v>916</v>
      </c>
      <c r="C792" s="44" t="s">
        <v>59</v>
      </c>
      <c r="D792" s="72">
        <f>'В-25'!G833</f>
        <v>0</v>
      </c>
      <c r="E792" s="81"/>
    </row>
    <row r="793" spans="1:5" ht="75" hidden="1" x14ac:dyDescent="0.3">
      <c r="A793" s="143" t="s">
        <v>882</v>
      </c>
      <c r="B793" s="44" t="s">
        <v>1115</v>
      </c>
      <c r="C793" s="44" t="s">
        <v>50</v>
      </c>
      <c r="D793" s="72">
        <f>D794</f>
        <v>0</v>
      </c>
      <c r="E793" s="81"/>
    </row>
    <row r="794" spans="1:5" ht="37.5" hidden="1" x14ac:dyDescent="0.3">
      <c r="A794" s="143" t="s">
        <v>425</v>
      </c>
      <c r="B794" s="44" t="s">
        <v>1115</v>
      </c>
      <c r="C794" s="44" t="s">
        <v>59</v>
      </c>
      <c r="D794" s="72">
        <f>'В-25'!G835</f>
        <v>0</v>
      </c>
      <c r="E794" s="81"/>
    </row>
    <row r="795" spans="1:5" ht="19.5" x14ac:dyDescent="0.35">
      <c r="A795" s="171" t="s">
        <v>409</v>
      </c>
      <c r="B795" s="63" t="s">
        <v>421</v>
      </c>
      <c r="C795" s="64" t="s">
        <v>50</v>
      </c>
      <c r="D795" s="197">
        <f>D796+D816</f>
        <v>100.2</v>
      </c>
      <c r="E795" s="81"/>
    </row>
    <row r="796" spans="1:5" ht="18.75" x14ac:dyDescent="0.3">
      <c r="A796" s="143" t="s">
        <v>62</v>
      </c>
      <c r="B796" s="14" t="s">
        <v>422</v>
      </c>
      <c r="C796" s="14" t="s">
        <v>50</v>
      </c>
      <c r="D796" s="72">
        <f>D797</f>
        <v>100.2</v>
      </c>
      <c r="E796" s="81"/>
    </row>
    <row r="797" spans="1:5" ht="18.75" x14ac:dyDescent="0.3">
      <c r="A797" s="176" t="s">
        <v>391</v>
      </c>
      <c r="B797" s="14" t="s">
        <v>589</v>
      </c>
      <c r="C797" s="14" t="s">
        <v>50</v>
      </c>
      <c r="D797" s="72">
        <f>D798+D811</f>
        <v>100.2</v>
      </c>
      <c r="E797" s="81"/>
    </row>
    <row r="798" spans="1:5" ht="37.5" x14ac:dyDescent="0.3">
      <c r="A798" s="143" t="s">
        <v>425</v>
      </c>
      <c r="B798" s="14" t="s">
        <v>589</v>
      </c>
      <c r="C798" s="14" t="s">
        <v>59</v>
      </c>
      <c r="D798" s="72">
        <f>'В-25'!G715</f>
        <v>100.2</v>
      </c>
      <c r="E798" s="81"/>
    </row>
    <row r="799" spans="1:5" ht="56.25" hidden="1" x14ac:dyDescent="0.3">
      <c r="A799" s="143" t="s">
        <v>493</v>
      </c>
      <c r="B799" s="14" t="s">
        <v>631</v>
      </c>
      <c r="C799" s="14" t="s">
        <v>50</v>
      </c>
      <c r="D799" s="72">
        <f>D800</f>
        <v>0</v>
      </c>
      <c r="E799" s="81"/>
    </row>
    <row r="800" spans="1:5" ht="18.75" hidden="1" x14ac:dyDescent="0.3">
      <c r="A800" s="143" t="s">
        <v>60</v>
      </c>
      <c r="B800" s="14" t="s">
        <v>631</v>
      </c>
      <c r="C800" s="14" t="s">
        <v>61</v>
      </c>
      <c r="D800" s="72">
        <f>'В-25'!G574</f>
        <v>0</v>
      </c>
      <c r="E800" s="81"/>
    </row>
    <row r="801" spans="1:5" ht="37.5" hidden="1" x14ac:dyDescent="0.3">
      <c r="A801" s="163" t="s">
        <v>586</v>
      </c>
      <c r="B801" s="44" t="s">
        <v>587</v>
      </c>
      <c r="C801" s="44" t="s">
        <v>50</v>
      </c>
      <c r="D801" s="72">
        <f>D802</f>
        <v>0</v>
      </c>
      <c r="E801" s="81"/>
    </row>
    <row r="802" spans="1:5" ht="18.75" hidden="1" x14ac:dyDescent="0.3">
      <c r="A802" s="163" t="s">
        <v>60</v>
      </c>
      <c r="B802" s="44" t="s">
        <v>587</v>
      </c>
      <c r="C802" s="44" t="s">
        <v>61</v>
      </c>
      <c r="D802" s="72">
        <v>0</v>
      </c>
      <c r="E802" s="81"/>
    </row>
    <row r="803" spans="1:5" ht="37.5" hidden="1" x14ac:dyDescent="0.3">
      <c r="A803" s="181" t="s">
        <v>351</v>
      </c>
      <c r="B803" s="44" t="s">
        <v>650</v>
      </c>
      <c r="C803" s="14" t="s">
        <v>50</v>
      </c>
      <c r="D803" s="72">
        <v>0</v>
      </c>
      <c r="E803" s="81"/>
    </row>
    <row r="804" spans="1:5" ht="18.75" hidden="1" x14ac:dyDescent="0.3">
      <c r="A804" s="143" t="s">
        <v>651</v>
      </c>
      <c r="B804" s="44" t="s">
        <v>588</v>
      </c>
      <c r="C804" s="14" t="s">
        <v>50</v>
      </c>
      <c r="D804" s="72">
        <v>0</v>
      </c>
      <c r="E804" s="81"/>
    </row>
    <row r="805" spans="1:5" ht="37.5" hidden="1" x14ac:dyDescent="0.3">
      <c r="A805" s="185" t="s">
        <v>568</v>
      </c>
      <c r="B805" s="44" t="s">
        <v>588</v>
      </c>
      <c r="C805" s="14" t="s">
        <v>50</v>
      </c>
      <c r="D805" s="72">
        <f>D806</f>
        <v>0</v>
      </c>
      <c r="E805" s="81"/>
    </row>
    <row r="806" spans="1:5" ht="37.5" hidden="1" x14ac:dyDescent="0.3">
      <c r="A806" s="143" t="s">
        <v>425</v>
      </c>
      <c r="B806" s="44" t="s">
        <v>588</v>
      </c>
      <c r="C806" s="14" t="s">
        <v>59</v>
      </c>
      <c r="D806" s="72">
        <f>'В-25'!G1134</f>
        <v>0</v>
      </c>
      <c r="E806" s="81"/>
    </row>
    <row r="807" spans="1:5" ht="45" hidden="1" customHeight="1" x14ac:dyDescent="0.3">
      <c r="A807" s="163" t="s">
        <v>780</v>
      </c>
      <c r="B807" s="14" t="s">
        <v>778</v>
      </c>
      <c r="C807" s="14" t="s">
        <v>50</v>
      </c>
      <c r="D807" s="72">
        <f>D808</f>
        <v>0</v>
      </c>
      <c r="E807" s="81"/>
    </row>
    <row r="808" spans="1:5" ht="37.5" hidden="1" x14ac:dyDescent="0.3">
      <c r="A808" s="143" t="s">
        <v>425</v>
      </c>
      <c r="B808" s="14" t="s">
        <v>778</v>
      </c>
      <c r="C808" s="14" t="s">
        <v>59</v>
      </c>
      <c r="D808" s="72">
        <f>'В-25'!G952</f>
        <v>0</v>
      </c>
      <c r="E808" s="81"/>
    </row>
    <row r="809" spans="1:5" ht="45.75" hidden="1" customHeight="1" x14ac:dyDescent="0.3">
      <c r="A809" s="163" t="s">
        <v>780</v>
      </c>
      <c r="B809" s="14" t="s">
        <v>779</v>
      </c>
      <c r="C809" s="14" t="s">
        <v>50</v>
      </c>
      <c r="D809" s="72">
        <f>D810</f>
        <v>0</v>
      </c>
      <c r="E809" s="81"/>
    </row>
    <row r="810" spans="1:5" ht="37.5" hidden="1" x14ac:dyDescent="0.3">
      <c r="A810" s="143" t="s">
        <v>425</v>
      </c>
      <c r="B810" s="14" t="s">
        <v>779</v>
      </c>
      <c r="C810" s="14" t="s">
        <v>59</v>
      </c>
      <c r="D810" s="72">
        <f>'В-25'!G954</f>
        <v>0</v>
      </c>
      <c r="E810" s="81"/>
    </row>
    <row r="811" spans="1:5" ht="18.75" hidden="1" x14ac:dyDescent="0.3">
      <c r="A811" s="163" t="s">
        <v>60</v>
      </c>
      <c r="B811" s="14" t="s">
        <v>589</v>
      </c>
      <c r="C811" s="14" t="s">
        <v>61</v>
      </c>
      <c r="D811" s="72">
        <f>'В-25'!G721</f>
        <v>0</v>
      </c>
      <c r="E811" s="81"/>
    </row>
    <row r="812" spans="1:5" ht="18.75" hidden="1" x14ac:dyDescent="0.3">
      <c r="A812" s="143" t="s">
        <v>790</v>
      </c>
      <c r="B812" s="14" t="s">
        <v>925</v>
      </c>
      <c r="C812" s="14" t="s">
        <v>50</v>
      </c>
      <c r="D812" s="72">
        <f>D813</f>
        <v>0</v>
      </c>
      <c r="E812" s="81"/>
    </row>
    <row r="813" spans="1:5" ht="18.75" hidden="1" x14ac:dyDescent="0.3">
      <c r="A813" s="163" t="s">
        <v>60</v>
      </c>
      <c r="B813" s="14" t="s">
        <v>925</v>
      </c>
      <c r="C813" s="14" t="s">
        <v>61</v>
      </c>
      <c r="D813" s="72">
        <f>'В-25'!G958</f>
        <v>0</v>
      </c>
      <c r="E813" s="81"/>
    </row>
    <row r="814" spans="1:5" ht="18.75" hidden="1" x14ac:dyDescent="0.3">
      <c r="A814" s="143" t="s">
        <v>790</v>
      </c>
      <c r="B814" s="14" t="s">
        <v>796</v>
      </c>
      <c r="C814" s="14" t="s">
        <v>50</v>
      </c>
      <c r="D814" s="72">
        <f>D815</f>
        <v>0</v>
      </c>
      <c r="E814" s="81"/>
    </row>
    <row r="815" spans="1:5" ht="18.75" hidden="1" x14ac:dyDescent="0.3">
      <c r="A815" s="163" t="s">
        <v>60</v>
      </c>
      <c r="B815" s="14" t="s">
        <v>796</v>
      </c>
      <c r="C815" s="14" t="s">
        <v>61</v>
      </c>
      <c r="D815" s="72">
        <f>'В-25'!G960</f>
        <v>0</v>
      </c>
      <c r="E815" s="81"/>
    </row>
    <row r="816" spans="1:5" ht="56.25" hidden="1" x14ac:dyDescent="0.3">
      <c r="A816" s="232" t="s">
        <v>961</v>
      </c>
      <c r="B816" s="14" t="s">
        <v>1116</v>
      </c>
      <c r="C816" s="14" t="s">
        <v>50</v>
      </c>
      <c r="D816" s="72">
        <f>D817</f>
        <v>0</v>
      </c>
      <c r="E816" s="81"/>
    </row>
    <row r="817" spans="1:5" ht="37.5" hidden="1" x14ac:dyDescent="0.3">
      <c r="A817" s="143" t="s">
        <v>425</v>
      </c>
      <c r="B817" s="14" t="s">
        <v>1116</v>
      </c>
      <c r="C817" s="14" t="s">
        <v>59</v>
      </c>
      <c r="D817" s="72">
        <f>'В-25'!G1013</f>
        <v>0</v>
      </c>
      <c r="E817" s="81"/>
    </row>
    <row r="818" spans="1:5" ht="37.5" x14ac:dyDescent="0.3">
      <c r="A818" s="169" t="s">
        <v>12</v>
      </c>
      <c r="B818" s="21" t="s">
        <v>102</v>
      </c>
      <c r="C818" s="9" t="s">
        <v>50</v>
      </c>
      <c r="D818" s="196">
        <f>D822+D833+D819</f>
        <v>128637.79999999999</v>
      </c>
      <c r="E818" s="81"/>
    </row>
    <row r="819" spans="1:5" ht="18.75" hidden="1" x14ac:dyDescent="0.3">
      <c r="A819" s="163" t="s">
        <v>62</v>
      </c>
      <c r="B819" s="14" t="s">
        <v>466</v>
      </c>
      <c r="C819" s="14" t="s">
        <v>50</v>
      </c>
      <c r="D819" s="72">
        <f>D820</f>
        <v>0</v>
      </c>
      <c r="E819" s="81"/>
    </row>
    <row r="820" spans="1:5" ht="18.75" hidden="1" x14ac:dyDescent="0.3">
      <c r="A820" s="163" t="s">
        <v>64</v>
      </c>
      <c r="B820" s="14" t="s">
        <v>454</v>
      </c>
      <c r="C820" s="14" t="s">
        <v>50</v>
      </c>
      <c r="D820" s="72">
        <f>D821</f>
        <v>0</v>
      </c>
      <c r="E820" s="81"/>
    </row>
    <row r="821" spans="1:5" ht="37.5" hidden="1" x14ac:dyDescent="0.3">
      <c r="A821" s="143" t="s">
        <v>425</v>
      </c>
      <c r="B821" s="14" t="s">
        <v>454</v>
      </c>
      <c r="C821" s="14" t="s">
        <v>59</v>
      </c>
      <c r="D821" s="72">
        <f>'[2]В-21'!G519</f>
        <v>0</v>
      </c>
      <c r="E821" s="81"/>
    </row>
    <row r="822" spans="1:5" ht="37.5" hidden="1" x14ac:dyDescent="0.3">
      <c r="A822" s="181" t="s">
        <v>351</v>
      </c>
      <c r="B822" s="44" t="s">
        <v>353</v>
      </c>
      <c r="C822" s="20" t="s">
        <v>50</v>
      </c>
      <c r="D822" s="72">
        <f>D823</f>
        <v>119780.4</v>
      </c>
      <c r="E822" s="81"/>
    </row>
    <row r="823" spans="1:5" ht="42.75" customHeight="1" x14ac:dyDescent="0.3">
      <c r="A823" s="181" t="s">
        <v>1139</v>
      </c>
      <c r="B823" s="44" t="s">
        <v>1140</v>
      </c>
      <c r="C823" s="20" t="s">
        <v>50</v>
      </c>
      <c r="D823" s="72">
        <f>D824+D827+D829+D831</f>
        <v>119780.4</v>
      </c>
      <c r="E823" s="81"/>
    </row>
    <row r="824" spans="1:5" ht="24" customHeight="1" x14ac:dyDescent="0.3">
      <c r="A824" s="163" t="s">
        <v>352</v>
      </c>
      <c r="B824" s="44" t="s">
        <v>1140</v>
      </c>
      <c r="C824" s="44" t="s">
        <v>50</v>
      </c>
      <c r="D824" s="72">
        <f>D825+D826</f>
        <v>13132</v>
      </c>
      <c r="E824" s="81"/>
    </row>
    <row r="825" spans="1:5" ht="37.5" x14ac:dyDescent="0.3">
      <c r="A825" s="143" t="s">
        <v>425</v>
      </c>
      <c r="B825" s="44" t="s">
        <v>1141</v>
      </c>
      <c r="C825" s="44" t="s">
        <v>59</v>
      </c>
      <c r="D825" s="72">
        <f>'В-25'!G1114+'В-25'!G861</f>
        <v>13132</v>
      </c>
      <c r="E825" s="81"/>
    </row>
    <row r="826" spans="1:5" ht="37.5" hidden="1" x14ac:dyDescent="0.3">
      <c r="A826" s="143" t="s">
        <v>264</v>
      </c>
      <c r="B826" s="44" t="s">
        <v>355</v>
      </c>
      <c r="C826" s="44" t="s">
        <v>261</v>
      </c>
      <c r="D826" s="72">
        <f>'В-25'!G1116</f>
        <v>0</v>
      </c>
      <c r="E826" s="81"/>
    </row>
    <row r="827" spans="1:5" ht="18.75" hidden="1" x14ac:dyDescent="0.3">
      <c r="A827" s="163" t="s">
        <v>352</v>
      </c>
      <c r="B827" s="44" t="s">
        <v>743</v>
      </c>
      <c r="C827" s="44" t="s">
        <v>50</v>
      </c>
      <c r="D827" s="72">
        <f>D828</f>
        <v>0</v>
      </c>
      <c r="E827" s="81"/>
    </row>
    <row r="828" spans="1:5" ht="37.5" hidden="1" x14ac:dyDescent="0.3">
      <c r="A828" s="143" t="s">
        <v>425</v>
      </c>
      <c r="B828" s="44" t="s">
        <v>743</v>
      </c>
      <c r="C828" s="44" t="s">
        <v>59</v>
      </c>
      <c r="D828" s="72">
        <f>'В-25'!G1118</f>
        <v>0</v>
      </c>
      <c r="E828" s="81"/>
    </row>
    <row r="829" spans="1:5" ht="75" hidden="1" x14ac:dyDescent="0.3">
      <c r="A829" s="143" t="s">
        <v>809</v>
      </c>
      <c r="B829" s="44" t="s">
        <v>808</v>
      </c>
      <c r="C829" s="44" t="s">
        <v>50</v>
      </c>
      <c r="D829" s="72">
        <f>D830</f>
        <v>0</v>
      </c>
      <c r="E829" s="81"/>
    </row>
    <row r="830" spans="1:5" ht="37.5" hidden="1" x14ac:dyDescent="0.3">
      <c r="A830" s="143" t="s">
        <v>425</v>
      </c>
      <c r="B830" s="44" t="s">
        <v>808</v>
      </c>
      <c r="C830" s="44" t="s">
        <v>59</v>
      </c>
      <c r="D830" s="72">
        <f>'В-25'!G1120</f>
        <v>0</v>
      </c>
      <c r="E830" s="81"/>
    </row>
    <row r="831" spans="1:5" ht="75" x14ac:dyDescent="0.3">
      <c r="A831" s="143" t="s">
        <v>809</v>
      </c>
      <c r="B831" s="44" t="s">
        <v>875</v>
      </c>
      <c r="C831" s="44" t="s">
        <v>50</v>
      </c>
      <c r="D831" s="72">
        <f>D832</f>
        <v>106648.4</v>
      </c>
      <c r="E831" s="81"/>
    </row>
    <row r="832" spans="1:5" ht="37.5" x14ac:dyDescent="0.3">
      <c r="A832" s="143" t="s">
        <v>425</v>
      </c>
      <c r="B832" s="44" t="s">
        <v>875</v>
      </c>
      <c r="C832" s="44" t="s">
        <v>59</v>
      </c>
      <c r="D832" s="72">
        <f>'В-25'!G1122</f>
        <v>106648.4</v>
      </c>
      <c r="E832" s="81"/>
    </row>
    <row r="833" spans="1:5" ht="19.5" x14ac:dyDescent="0.35">
      <c r="A833" s="171" t="s">
        <v>409</v>
      </c>
      <c r="B833" s="21" t="s">
        <v>106</v>
      </c>
      <c r="C833" s="41" t="s">
        <v>50</v>
      </c>
      <c r="D833" s="196">
        <f>D834</f>
        <v>8857.4</v>
      </c>
      <c r="E833" s="81"/>
    </row>
    <row r="834" spans="1:5" ht="18.75" x14ac:dyDescent="0.3">
      <c r="A834" s="163" t="s">
        <v>62</v>
      </c>
      <c r="B834" s="44" t="s">
        <v>356</v>
      </c>
      <c r="C834" s="44" t="s">
        <v>50</v>
      </c>
      <c r="D834" s="72">
        <f>D835+D838</f>
        <v>8857.4</v>
      </c>
      <c r="E834" s="81"/>
    </row>
    <row r="835" spans="1:5" ht="24.75" customHeight="1" x14ac:dyDescent="0.3">
      <c r="A835" s="163" t="s">
        <v>352</v>
      </c>
      <c r="B835" s="44" t="s">
        <v>357</v>
      </c>
      <c r="C835" s="44" t="s">
        <v>50</v>
      </c>
      <c r="D835" s="72">
        <f>D836+D837</f>
        <v>257.39999999999998</v>
      </c>
      <c r="E835" s="81"/>
    </row>
    <row r="836" spans="1:5" ht="37.5" x14ac:dyDescent="0.3">
      <c r="A836" s="143" t="s">
        <v>425</v>
      </c>
      <c r="B836" s="44" t="s">
        <v>357</v>
      </c>
      <c r="C836" s="44" t="s">
        <v>59</v>
      </c>
      <c r="D836" s="72">
        <f>'В-25'!G1126+'В-25'!G880</f>
        <v>257.39999999999998</v>
      </c>
      <c r="E836" s="81"/>
    </row>
    <row r="837" spans="1:5" ht="47.25" customHeight="1" x14ac:dyDescent="0.3">
      <c r="A837" s="143" t="s">
        <v>290</v>
      </c>
      <c r="B837" s="44" t="s">
        <v>357</v>
      </c>
      <c r="C837" s="44" t="s">
        <v>291</v>
      </c>
      <c r="D837" s="72">
        <f>'В-25'!G1127</f>
        <v>0</v>
      </c>
      <c r="E837" s="81"/>
    </row>
    <row r="838" spans="1:5" ht="29.25" customHeight="1" x14ac:dyDescent="0.3">
      <c r="A838" s="143" t="s">
        <v>64</v>
      </c>
      <c r="B838" s="44" t="s">
        <v>729</v>
      </c>
      <c r="C838" s="44" t="s">
        <v>50</v>
      </c>
      <c r="D838" s="72">
        <f>D839</f>
        <v>8600</v>
      </c>
      <c r="E838" s="81"/>
    </row>
    <row r="839" spans="1:5" ht="47.25" customHeight="1" x14ac:dyDescent="0.3">
      <c r="A839" s="143" t="s">
        <v>425</v>
      </c>
      <c r="B839" s="44" t="s">
        <v>729</v>
      </c>
      <c r="C839" s="44" t="s">
        <v>59</v>
      </c>
      <c r="D839" s="72">
        <f>'В-25'!G1136</f>
        <v>8600</v>
      </c>
      <c r="E839" s="81"/>
    </row>
    <row r="840" spans="1:5" ht="56.25" x14ac:dyDescent="0.3">
      <c r="A840" s="169" t="s">
        <v>13</v>
      </c>
      <c r="B840" s="21" t="s">
        <v>135</v>
      </c>
      <c r="C840" s="9" t="s">
        <v>50</v>
      </c>
      <c r="D840" s="196">
        <f>D841+D850</f>
        <v>40</v>
      </c>
      <c r="E840" s="81"/>
    </row>
    <row r="841" spans="1:5" ht="60" customHeight="1" x14ac:dyDescent="0.35">
      <c r="A841" s="161" t="s">
        <v>14</v>
      </c>
      <c r="B841" s="63" t="s">
        <v>30</v>
      </c>
      <c r="C841" s="64" t="s">
        <v>50</v>
      </c>
      <c r="D841" s="197">
        <f>D842</f>
        <v>40</v>
      </c>
      <c r="E841" s="81"/>
    </row>
    <row r="842" spans="1:5" ht="26.25" customHeight="1" x14ac:dyDescent="0.3">
      <c r="A842" s="143" t="s">
        <v>62</v>
      </c>
      <c r="B842" s="14" t="s">
        <v>219</v>
      </c>
      <c r="C842" s="14" t="s">
        <v>50</v>
      </c>
      <c r="D842" s="72">
        <f>D843</f>
        <v>40</v>
      </c>
      <c r="E842" s="81"/>
    </row>
    <row r="843" spans="1:5" ht="21.75" customHeight="1" x14ac:dyDescent="0.3">
      <c r="A843" s="143" t="s">
        <v>218</v>
      </c>
      <c r="B843" s="14" t="s">
        <v>220</v>
      </c>
      <c r="C843" s="14" t="s">
        <v>50</v>
      </c>
      <c r="D843" s="72">
        <f>D844</f>
        <v>40</v>
      </c>
      <c r="E843" s="81"/>
    </row>
    <row r="844" spans="1:5" ht="38.25" customHeight="1" x14ac:dyDescent="0.3">
      <c r="A844" s="143" t="s">
        <v>425</v>
      </c>
      <c r="B844" s="14" t="s">
        <v>220</v>
      </c>
      <c r="C844" s="14" t="s">
        <v>59</v>
      </c>
      <c r="D844" s="72">
        <f>'В-25'!G579</f>
        <v>40</v>
      </c>
      <c r="E844" s="81"/>
    </row>
    <row r="845" spans="1:5" ht="39" hidden="1" outlineLevel="2" x14ac:dyDescent="0.35">
      <c r="A845" s="161" t="s">
        <v>15</v>
      </c>
      <c r="B845" s="63" t="s">
        <v>31</v>
      </c>
      <c r="C845" s="64" t="s">
        <v>50</v>
      </c>
      <c r="D845" s="197">
        <f>D846</f>
        <v>0</v>
      </c>
      <c r="E845" s="81"/>
    </row>
    <row r="846" spans="1:5" ht="18.75" hidden="1" outlineLevel="2" x14ac:dyDescent="0.3">
      <c r="A846" s="143" t="s">
        <v>62</v>
      </c>
      <c r="B846" s="14" t="s">
        <v>262</v>
      </c>
      <c r="C846" s="14" t="s">
        <v>50</v>
      </c>
      <c r="D846" s="72">
        <f>D847</f>
        <v>0</v>
      </c>
      <c r="E846" s="81"/>
    </row>
    <row r="847" spans="1:5" ht="18.75" hidden="1" outlineLevel="2" x14ac:dyDescent="0.3">
      <c r="A847" s="143" t="s">
        <v>260</v>
      </c>
      <c r="B847" s="14" t="s">
        <v>263</v>
      </c>
      <c r="C847" s="14" t="s">
        <v>50</v>
      </c>
      <c r="D847" s="72">
        <f>D848+D849</f>
        <v>0</v>
      </c>
      <c r="E847" s="81"/>
    </row>
    <row r="848" spans="1:5" ht="18.75" hidden="1" outlineLevel="2" x14ac:dyDescent="0.3">
      <c r="A848" s="143" t="s">
        <v>58</v>
      </c>
      <c r="B848" s="14" t="s">
        <v>263</v>
      </c>
      <c r="C848" s="14" t="s">
        <v>59</v>
      </c>
      <c r="D848" s="72">
        <f>'[2]В-21'!G529</f>
        <v>0</v>
      </c>
      <c r="E848" s="81"/>
    </row>
    <row r="849" spans="1:5" ht="37.5" hidden="1" outlineLevel="2" x14ac:dyDescent="0.3">
      <c r="A849" s="143" t="s">
        <v>264</v>
      </c>
      <c r="B849" s="14" t="s">
        <v>263</v>
      </c>
      <c r="C849" s="14" t="s">
        <v>261</v>
      </c>
      <c r="D849" s="72">
        <f>'[2]В-21'!G530</f>
        <v>0</v>
      </c>
      <c r="E849" s="81"/>
    </row>
    <row r="850" spans="1:5" ht="19.5" hidden="1" outlineLevel="1" collapsed="1" x14ac:dyDescent="0.35">
      <c r="A850" s="171" t="s">
        <v>409</v>
      </c>
      <c r="B850" s="63" t="s">
        <v>136</v>
      </c>
      <c r="C850" s="66" t="s">
        <v>50</v>
      </c>
      <c r="D850" s="197">
        <f>D851</f>
        <v>0</v>
      </c>
      <c r="E850" s="81"/>
    </row>
    <row r="851" spans="1:5" ht="18.75" hidden="1" outlineLevel="1" x14ac:dyDescent="0.3">
      <c r="A851" s="166" t="s">
        <v>62</v>
      </c>
      <c r="B851" s="20" t="s">
        <v>266</v>
      </c>
      <c r="C851" s="20" t="s">
        <v>50</v>
      </c>
      <c r="D851" s="72">
        <f>D852</f>
        <v>0</v>
      </c>
      <c r="E851" s="81"/>
    </row>
    <row r="852" spans="1:5" ht="18.75" hidden="1" outlineLevel="1" x14ac:dyDescent="0.3">
      <c r="A852" s="166" t="s">
        <v>265</v>
      </c>
      <c r="B852" s="20" t="s">
        <v>267</v>
      </c>
      <c r="C852" s="20" t="s">
        <v>50</v>
      </c>
      <c r="D852" s="72">
        <f>D853</f>
        <v>0</v>
      </c>
      <c r="E852" s="81"/>
    </row>
    <row r="853" spans="1:5" ht="37.5" hidden="1" outlineLevel="1" x14ac:dyDescent="0.3">
      <c r="A853" s="143" t="s">
        <v>424</v>
      </c>
      <c r="B853" s="20" t="s">
        <v>267</v>
      </c>
      <c r="C853" s="20" t="s">
        <v>59</v>
      </c>
      <c r="D853" s="72">
        <f>'[2]В-21'!G534</f>
        <v>0</v>
      </c>
      <c r="E853" s="81"/>
    </row>
    <row r="854" spans="1:5" ht="37.5" collapsed="1" x14ac:dyDescent="0.3">
      <c r="A854" s="186" t="s">
        <v>16</v>
      </c>
      <c r="B854" s="21" t="s">
        <v>32</v>
      </c>
      <c r="C854" s="27" t="s">
        <v>50</v>
      </c>
      <c r="D854" s="196">
        <f>D855+D863+D890</f>
        <v>96671.52</v>
      </c>
      <c r="E854" s="81"/>
    </row>
    <row r="855" spans="1:5" ht="39" x14ac:dyDescent="0.35">
      <c r="A855" s="167" t="s">
        <v>17</v>
      </c>
      <c r="B855" s="63" t="s">
        <v>33</v>
      </c>
      <c r="C855" s="66" t="s">
        <v>50</v>
      </c>
      <c r="D855" s="197">
        <f>D856+D858+D861</f>
        <v>88.22</v>
      </c>
      <c r="E855" s="81"/>
    </row>
    <row r="856" spans="1:5" ht="40.5" hidden="1" customHeight="1" x14ac:dyDescent="0.3">
      <c r="A856" s="162" t="s">
        <v>609</v>
      </c>
      <c r="B856" s="15" t="s">
        <v>652</v>
      </c>
      <c r="C856" s="15" t="s">
        <v>50</v>
      </c>
      <c r="D856" s="72">
        <f>D857</f>
        <v>0</v>
      </c>
      <c r="E856" s="81"/>
    </row>
    <row r="857" spans="1:5" ht="45.75" hidden="1" customHeight="1" x14ac:dyDescent="0.3">
      <c r="A857" s="143" t="s">
        <v>425</v>
      </c>
      <c r="B857" s="15" t="s">
        <v>652</v>
      </c>
      <c r="C857" s="15" t="s">
        <v>59</v>
      </c>
      <c r="D857" s="72">
        <f>'В-25'!G412</f>
        <v>0</v>
      </c>
      <c r="E857" s="81"/>
    </row>
    <row r="858" spans="1:5" ht="56.25" hidden="1" x14ac:dyDescent="0.3">
      <c r="A858" s="143" t="s">
        <v>249</v>
      </c>
      <c r="B858" s="15" t="s">
        <v>851</v>
      </c>
      <c r="C858" s="44" t="s">
        <v>50</v>
      </c>
      <c r="D858" s="72">
        <f>D859</f>
        <v>87.22</v>
      </c>
      <c r="E858" s="81"/>
    </row>
    <row r="859" spans="1:5" ht="75" x14ac:dyDescent="0.3">
      <c r="A859" s="143" t="s">
        <v>437</v>
      </c>
      <c r="B859" s="15" t="s">
        <v>1188</v>
      </c>
      <c r="C859" s="44" t="s">
        <v>50</v>
      </c>
      <c r="D859" s="72">
        <f>D860</f>
        <v>87.22</v>
      </c>
      <c r="E859" s="81"/>
    </row>
    <row r="860" spans="1:5" ht="37.5" x14ac:dyDescent="0.3">
      <c r="A860" s="143" t="s">
        <v>425</v>
      </c>
      <c r="B860" s="15" t="s">
        <v>1188</v>
      </c>
      <c r="C860" s="15" t="s">
        <v>59</v>
      </c>
      <c r="D860" s="72">
        <f>'В-25'!G1232</f>
        <v>87.22</v>
      </c>
      <c r="E860" s="81"/>
    </row>
    <row r="861" spans="1:5" ht="75" x14ac:dyDescent="0.3">
      <c r="A861" s="143" t="s">
        <v>440</v>
      </c>
      <c r="B861" s="15" t="s">
        <v>1189</v>
      </c>
      <c r="C861" s="15" t="s">
        <v>50</v>
      </c>
      <c r="D861" s="72">
        <f>D862</f>
        <v>1</v>
      </c>
      <c r="E861" s="81"/>
    </row>
    <row r="862" spans="1:5" ht="37.5" x14ac:dyDescent="0.3">
      <c r="A862" s="143" t="s">
        <v>425</v>
      </c>
      <c r="B862" s="15" t="s">
        <v>1189</v>
      </c>
      <c r="C862" s="15" t="s">
        <v>59</v>
      </c>
      <c r="D862" s="72">
        <f>'В-25'!G1234</f>
        <v>1</v>
      </c>
      <c r="E862" s="81"/>
    </row>
    <row r="863" spans="1:5" ht="39" x14ac:dyDescent="0.35">
      <c r="A863" s="167" t="s">
        <v>18</v>
      </c>
      <c r="B863" s="63" t="s">
        <v>34</v>
      </c>
      <c r="C863" s="63" t="s">
        <v>50</v>
      </c>
      <c r="D863" s="197">
        <f>D864+D879+D885+D888</f>
        <v>57277.599999999999</v>
      </c>
      <c r="E863" s="81"/>
    </row>
    <row r="864" spans="1:5" ht="56.25" x14ac:dyDescent="0.3">
      <c r="A864" s="143" t="s">
        <v>103</v>
      </c>
      <c r="B864" s="15" t="s">
        <v>36</v>
      </c>
      <c r="C864" s="15" t="s">
        <v>50</v>
      </c>
      <c r="D864" s="72">
        <f>D865+D869+D875+D873+D867+D877</f>
        <v>57219.6</v>
      </c>
      <c r="E864" s="81"/>
    </row>
    <row r="865" spans="1:5" ht="18.75" x14ac:dyDescent="0.3">
      <c r="A865" s="143" t="s">
        <v>204</v>
      </c>
      <c r="B865" s="15" t="s">
        <v>361</v>
      </c>
      <c r="C865" s="14" t="s">
        <v>50</v>
      </c>
      <c r="D865" s="72">
        <f>D866</f>
        <v>2351.4</v>
      </c>
      <c r="E865" s="81"/>
    </row>
    <row r="866" spans="1:5" ht="79.5" customHeight="1" x14ac:dyDescent="0.3">
      <c r="A866" s="143" t="s">
        <v>56</v>
      </c>
      <c r="B866" s="78" t="s">
        <v>439</v>
      </c>
      <c r="C866" s="15" t="s">
        <v>57</v>
      </c>
      <c r="D866" s="72">
        <f>'В-25'!G501</f>
        <v>2351.4</v>
      </c>
      <c r="E866" s="81"/>
    </row>
    <row r="867" spans="1:5" ht="37.5" hidden="1" x14ac:dyDescent="0.3">
      <c r="A867" s="162" t="s">
        <v>374</v>
      </c>
      <c r="B867" s="5" t="s">
        <v>515</v>
      </c>
      <c r="C867" s="15" t="s">
        <v>50</v>
      </c>
      <c r="D867" s="72">
        <f>D868</f>
        <v>0</v>
      </c>
      <c r="E867" s="81"/>
    </row>
    <row r="868" spans="1:5" ht="75" hidden="1" x14ac:dyDescent="0.3">
      <c r="A868" s="143" t="s">
        <v>56</v>
      </c>
      <c r="B868" s="5" t="s">
        <v>515</v>
      </c>
      <c r="C868" s="15" t="s">
        <v>57</v>
      </c>
      <c r="D868" s="72">
        <f>'В-25'!G503</f>
        <v>0</v>
      </c>
      <c r="E868" s="81"/>
    </row>
    <row r="869" spans="1:5" ht="18.75" x14ac:dyDescent="0.3">
      <c r="A869" s="143" t="s">
        <v>104</v>
      </c>
      <c r="B869" s="14" t="s">
        <v>37</v>
      </c>
      <c r="C869" s="14" t="s">
        <v>50</v>
      </c>
      <c r="D869" s="72">
        <f>D870+D871+D872</f>
        <v>36813.199999999997</v>
      </c>
      <c r="E869" s="81"/>
    </row>
    <row r="870" spans="1:5" ht="75" x14ac:dyDescent="0.3">
      <c r="A870" s="143" t="s">
        <v>56</v>
      </c>
      <c r="B870" s="15" t="s">
        <v>37</v>
      </c>
      <c r="C870" s="15" t="s">
        <v>57</v>
      </c>
      <c r="D870" s="72">
        <f>'В-25'!G32+'В-25'!G392+'В-25'!G427+'В-25'!G525+'В-25'!G1492</f>
        <v>31507.699999999997</v>
      </c>
      <c r="E870" s="89"/>
    </row>
    <row r="871" spans="1:5" ht="37.5" x14ac:dyDescent="0.3">
      <c r="A871" s="143" t="s">
        <v>425</v>
      </c>
      <c r="B871" s="15" t="s">
        <v>37</v>
      </c>
      <c r="C871" s="15" t="s">
        <v>59</v>
      </c>
      <c r="D871" s="72">
        <f>'В-25'!G33+'В-25'!G393+'В-25'!G526+'В-25'!G1279+'В-25'!G1245</f>
        <v>5305.5</v>
      </c>
      <c r="E871" s="81"/>
    </row>
    <row r="872" spans="1:5" ht="18.75" hidden="1" x14ac:dyDescent="0.3">
      <c r="A872" s="143" t="s">
        <v>60</v>
      </c>
      <c r="B872" s="15" t="s">
        <v>37</v>
      </c>
      <c r="C872" s="15" t="s">
        <v>61</v>
      </c>
      <c r="D872" s="72">
        <f>'В-25'!G528</f>
        <v>0</v>
      </c>
      <c r="E872" s="81"/>
    </row>
    <row r="873" spans="1:5" ht="37.5" x14ac:dyDescent="0.3">
      <c r="A873" s="162" t="s">
        <v>374</v>
      </c>
      <c r="B873" s="15" t="s">
        <v>510</v>
      </c>
      <c r="C873" s="15" t="s">
        <v>50</v>
      </c>
      <c r="D873" s="72">
        <f>D874</f>
        <v>12356.4</v>
      </c>
      <c r="E873" s="81"/>
    </row>
    <row r="874" spans="1:5" ht="75" x14ac:dyDescent="0.3">
      <c r="A874" s="143" t="s">
        <v>56</v>
      </c>
      <c r="B874" s="15" t="s">
        <v>510</v>
      </c>
      <c r="C874" s="15" t="s">
        <v>57</v>
      </c>
      <c r="D874" s="72">
        <f>'В-25'!G35+'В-25'!G395+'В-25'!G530</f>
        <v>12356.4</v>
      </c>
      <c r="E874" s="81"/>
    </row>
    <row r="875" spans="1:5" ht="37.5" x14ac:dyDescent="0.3">
      <c r="A875" s="143" t="s">
        <v>180</v>
      </c>
      <c r="B875" s="14" t="s">
        <v>181</v>
      </c>
      <c r="C875" s="14" t="s">
        <v>50</v>
      </c>
      <c r="D875" s="72">
        <f>D876</f>
        <v>4198.6000000000004</v>
      </c>
      <c r="E875" s="81"/>
    </row>
    <row r="876" spans="1:5" ht="75" x14ac:dyDescent="0.3">
      <c r="A876" s="143" t="s">
        <v>56</v>
      </c>
      <c r="B876" s="14" t="s">
        <v>181</v>
      </c>
      <c r="C876" s="14" t="s">
        <v>57</v>
      </c>
      <c r="D876" s="72">
        <f>'В-25'!G397+'В-25'!G532+'В-25'!G1494</f>
        <v>4198.6000000000004</v>
      </c>
      <c r="E876" s="81"/>
    </row>
    <row r="877" spans="1:5" ht="37.5" x14ac:dyDescent="0.3">
      <c r="A877" s="162" t="s">
        <v>374</v>
      </c>
      <c r="B877" s="15" t="s">
        <v>664</v>
      </c>
      <c r="C877" s="15" t="s">
        <v>50</v>
      </c>
      <c r="D877" s="72">
        <f>D878</f>
        <v>1500</v>
      </c>
      <c r="E877" s="81"/>
    </row>
    <row r="878" spans="1:5" ht="75" x14ac:dyDescent="0.3">
      <c r="A878" s="143" t="s">
        <v>56</v>
      </c>
      <c r="B878" s="15" t="s">
        <v>664</v>
      </c>
      <c r="C878" s="15" t="s">
        <v>57</v>
      </c>
      <c r="D878" s="72">
        <f>'В-25'!G399+'В-25'!G534</f>
        <v>1500</v>
      </c>
      <c r="E878" s="81"/>
    </row>
    <row r="879" spans="1:5" ht="18.75" x14ac:dyDescent="0.3">
      <c r="A879" s="163" t="s">
        <v>62</v>
      </c>
      <c r="B879" s="15" t="s">
        <v>350</v>
      </c>
      <c r="C879" s="15" t="s">
        <v>50</v>
      </c>
      <c r="D879" s="72">
        <f>D880+D883</f>
        <v>58</v>
      </c>
      <c r="E879" s="81"/>
    </row>
    <row r="880" spans="1:5" ht="18.75" x14ac:dyDescent="0.3">
      <c r="A880" s="143" t="s">
        <v>227</v>
      </c>
      <c r="B880" s="14" t="s">
        <v>228</v>
      </c>
      <c r="C880" s="14" t="s">
        <v>50</v>
      </c>
      <c r="D880" s="72">
        <f>D881+D882</f>
        <v>58</v>
      </c>
      <c r="E880" s="81"/>
    </row>
    <row r="881" spans="1:5" ht="18.75" x14ac:dyDescent="0.3">
      <c r="A881" s="143" t="s">
        <v>60</v>
      </c>
      <c r="B881" s="14" t="s">
        <v>228</v>
      </c>
      <c r="C881" s="14" t="s">
        <v>61</v>
      </c>
      <c r="D881" s="72">
        <f>'В-25'!G587</f>
        <v>58</v>
      </c>
      <c r="E881" s="81"/>
    </row>
    <row r="882" spans="1:5" ht="18.75" hidden="1" outlineLevel="1" x14ac:dyDescent="0.3">
      <c r="A882" s="143" t="s">
        <v>60</v>
      </c>
      <c r="B882" s="14" t="s">
        <v>228</v>
      </c>
      <c r="C882" s="14" t="s">
        <v>61</v>
      </c>
      <c r="D882" s="72">
        <f>'[2]В-21'!G399</f>
        <v>0</v>
      </c>
      <c r="E882" s="81"/>
    </row>
    <row r="883" spans="1:5" ht="37.5" hidden="1" collapsed="1" x14ac:dyDescent="0.3">
      <c r="A883" s="163" t="s">
        <v>433</v>
      </c>
      <c r="B883" s="15" t="s">
        <v>434</v>
      </c>
      <c r="C883" s="14" t="s">
        <v>50</v>
      </c>
      <c r="D883" s="72">
        <f>D884</f>
        <v>0</v>
      </c>
      <c r="E883" s="81"/>
    </row>
    <row r="884" spans="1:5" ht="37.5" hidden="1" x14ac:dyDescent="0.3">
      <c r="A884" s="143" t="s">
        <v>425</v>
      </c>
      <c r="B884" s="15" t="s">
        <v>434</v>
      </c>
      <c r="C884" s="14" t="s">
        <v>59</v>
      </c>
      <c r="D884" s="72">
        <f>'В-25'!G415</f>
        <v>0</v>
      </c>
      <c r="E884" s="81"/>
    </row>
    <row r="885" spans="1:5" ht="56.25" hidden="1" x14ac:dyDescent="0.3">
      <c r="A885" s="143" t="s">
        <v>249</v>
      </c>
      <c r="B885" s="15" t="s">
        <v>851</v>
      </c>
      <c r="C885" s="44" t="s">
        <v>50</v>
      </c>
      <c r="D885" s="72">
        <f>D886</f>
        <v>0</v>
      </c>
      <c r="E885" s="81"/>
    </row>
    <row r="886" spans="1:5" ht="75" hidden="1" x14ac:dyDescent="0.3">
      <c r="A886" s="143" t="s">
        <v>437</v>
      </c>
      <c r="B886" s="15" t="s">
        <v>852</v>
      </c>
      <c r="C886" s="44" t="s">
        <v>50</v>
      </c>
      <c r="D886" s="72">
        <f>D887</f>
        <v>0</v>
      </c>
      <c r="E886" s="81"/>
    </row>
    <row r="887" spans="1:5" ht="37.5" hidden="1" x14ac:dyDescent="0.3">
      <c r="A887" s="143" t="s">
        <v>425</v>
      </c>
      <c r="B887" s="15" t="s">
        <v>852</v>
      </c>
      <c r="C887" s="15" t="s">
        <v>59</v>
      </c>
      <c r="D887" s="72">
        <f>'В-25'!G418+'В-25'!G1241</f>
        <v>0</v>
      </c>
      <c r="E887" s="81"/>
    </row>
    <row r="888" spans="1:5" ht="75" hidden="1" x14ac:dyDescent="0.3">
      <c r="A888" s="143" t="s">
        <v>438</v>
      </c>
      <c r="B888" s="15" t="s">
        <v>853</v>
      </c>
      <c r="C888" s="15" t="s">
        <v>50</v>
      </c>
      <c r="D888" s="72">
        <f>D889</f>
        <v>0</v>
      </c>
      <c r="E888" s="81"/>
    </row>
    <row r="889" spans="1:5" ht="37.5" hidden="1" x14ac:dyDescent="0.3">
      <c r="A889" s="143" t="s">
        <v>425</v>
      </c>
      <c r="B889" s="15" t="s">
        <v>853</v>
      </c>
      <c r="C889" s="15" t="s">
        <v>59</v>
      </c>
      <c r="D889" s="72">
        <f>'В-25'!G420+'В-25'!G1243</f>
        <v>0</v>
      </c>
      <c r="E889" s="81"/>
    </row>
    <row r="890" spans="1:5" ht="19.5" x14ac:dyDescent="0.35">
      <c r="A890" s="171" t="s">
        <v>409</v>
      </c>
      <c r="B890" s="77" t="s">
        <v>19</v>
      </c>
      <c r="C890" s="63" t="s">
        <v>50</v>
      </c>
      <c r="D890" s="197">
        <f>D891+D908+D910+D913+D915+D918+D899+D920+D922+D904+D924+D926</f>
        <v>39305.700000000004</v>
      </c>
      <c r="E890" s="81"/>
    </row>
    <row r="891" spans="1:5" ht="37.5" customHeight="1" x14ac:dyDescent="0.3">
      <c r="A891" s="143" t="s">
        <v>52</v>
      </c>
      <c r="B891" s="14" t="s">
        <v>230</v>
      </c>
      <c r="C891" s="14" t="s">
        <v>50</v>
      </c>
      <c r="D891" s="72">
        <f>D892+D896</f>
        <v>20933.5</v>
      </c>
      <c r="E891" s="81"/>
    </row>
    <row r="892" spans="1:5" ht="24.75" customHeight="1" x14ac:dyDescent="0.3">
      <c r="A892" s="143" t="s">
        <v>229</v>
      </c>
      <c r="B892" s="14" t="s">
        <v>231</v>
      </c>
      <c r="C892" s="14" t="s">
        <v>50</v>
      </c>
      <c r="D892" s="72">
        <f>D893+D894+D895</f>
        <v>20933.5</v>
      </c>
      <c r="E892" s="81"/>
    </row>
    <row r="893" spans="1:5" ht="75" x14ac:dyDescent="0.3">
      <c r="A893" s="143" t="s">
        <v>56</v>
      </c>
      <c r="B893" s="14" t="s">
        <v>231</v>
      </c>
      <c r="C893" s="14" t="s">
        <v>57</v>
      </c>
      <c r="D893" s="72">
        <f>'В-25'!G591</f>
        <v>11011.8</v>
      </c>
      <c r="E893" s="81"/>
    </row>
    <row r="894" spans="1:5" ht="37.5" x14ac:dyDescent="0.3">
      <c r="A894" s="143" t="s">
        <v>425</v>
      </c>
      <c r="B894" s="14" t="s">
        <v>231</v>
      </c>
      <c r="C894" s="14" t="s">
        <v>59</v>
      </c>
      <c r="D894" s="72">
        <f>'В-25'!G592</f>
        <v>9921.7000000000007</v>
      </c>
      <c r="E894" s="81"/>
    </row>
    <row r="895" spans="1:5" ht="18.75" hidden="1" x14ac:dyDescent="0.3">
      <c r="A895" s="143" t="s">
        <v>60</v>
      </c>
      <c r="B895" s="14" t="s">
        <v>231</v>
      </c>
      <c r="C895" s="14" t="s">
        <v>61</v>
      </c>
      <c r="D895" s="72">
        <f>'В-25'!G593</f>
        <v>0</v>
      </c>
      <c r="E895" s="81"/>
    </row>
    <row r="896" spans="1:5" ht="27" hidden="1" customHeight="1" x14ac:dyDescent="0.3">
      <c r="A896" s="162" t="s">
        <v>374</v>
      </c>
      <c r="B896" s="14" t="s">
        <v>373</v>
      </c>
      <c r="C896" s="14" t="s">
        <v>50</v>
      </c>
      <c r="D896" s="72">
        <f>D898+D897</f>
        <v>0</v>
      </c>
      <c r="E896" s="81"/>
    </row>
    <row r="897" spans="1:5" ht="77.25" hidden="1" customHeight="1" x14ac:dyDescent="0.3">
      <c r="A897" s="143" t="s">
        <v>56</v>
      </c>
      <c r="B897" s="14" t="s">
        <v>373</v>
      </c>
      <c r="C897" s="14" t="s">
        <v>57</v>
      </c>
      <c r="D897" s="72">
        <f>'В-25'!G595</f>
        <v>0</v>
      </c>
      <c r="E897" s="81"/>
    </row>
    <row r="898" spans="1:5" ht="18.75" hidden="1" x14ac:dyDescent="0.3">
      <c r="A898" s="143" t="s">
        <v>60</v>
      </c>
      <c r="B898" s="14" t="s">
        <v>373</v>
      </c>
      <c r="C898" s="14" t="s">
        <v>61</v>
      </c>
      <c r="D898" s="72">
        <f>'[2]В-21'!G408</f>
        <v>0</v>
      </c>
      <c r="E898" s="81"/>
    </row>
    <row r="899" spans="1:5" ht="18.75" hidden="1" x14ac:dyDescent="0.3">
      <c r="A899" s="163" t="s">
        <v>62</v>
      </c>
      <c r="B899" s="14" t="s">
        <v>390</v>
      </c>
      <c r="C899" s="14" t="s">
        <v>50</v>
      </c>
      <c r="D899" s="72">
        <f>D902</f>
        <v>0</v>
      </c>
      <c r="E899" s="81"/>
    </row>
    <row r="900" spans="1:5" ht="18.75" hidden="1" x14ac:dyDescent="0.3">
      <c r="A900" s="176" t="s">
        <v>391</v>
      </c>
      <c r="B900" s="14" t="s">
        <v>392</v>
      </c>
      <c r="C900" s="14" t="s">
        <v>50</v>
      </c>
      <c r="D900" s="72">
        <f>D901</f>
        <v>0</v>
      </c>
      <c r="E900" s="81"/>
    </row>
    <row r="901" spans="1:5" ht="37.5" hidden="1" x14ac:dyDescent="0.3">
      <c r="A901" s="143" t="s">
        <v>425</v>
      </c>
      <c r="B901" s="14" t="s">
        <v>392</v>
      </c>
      <c r="C901" s="14" t="s">
        <v>59</v>
      </c>
      <c r="D901" s="72"/>
      <c r="E901" s="81"/>
    </row>
    <row r="902" spans="1:5" ht="37.5" hidden="1" x14ac:dyDescent="0.3">
      <c r="A902" s="162" t="s">
        <v>609</v>
      </c>
      <c r="B902" s="15" t="s">
        <v>434</v>
      </c>
      <c r="C902" s="15" t="s">
        <v>50</v>
      </c>
      <c r="D902" s="72">
        <f>D903</f>
        <v>0</v>
      </c>
      <c r="E902" s="81"/>
    </row>
    <row r="903" spans="1:5" ht="37.5" hidden="1" x14ac:dyDescent="0.3">
      <c r="A903" s="143" t="s">
        <v>425</v>
      </c>
      <c r="B903" s="15" t="s">
        <v>434</v>
      </c>
      <c r="C903" s="15" t="s">
        <v>59</v>
      </c>
      <c r="D903" s="72">
        <v>0</v>
      </c>
      <c r="E903" s="81"/>
    </row>
    <row r="904" spans="1:5" ht="18.75" hidden="1" x14ac:dyDescent="0.3">
      <c r="A904" s="143" t="s">
        <v>523</v>
      </c>
      <c r="B904" s="20" t="s">
        <v>524</v>
      </c>
      <c r="C904" s="20" t="s">
        <v>50</v>
      </c>
      <c r="D904" s="72">
        <f>D905</f>
        <v>0</v>
      </c>
      <c r="E904" s="81"/>
    </row>
    <row r="905" spans="1:5" ht="37.5" hidden="1" x14ac:dyDescent="0.3">
      <c r="A905" s="143" t="s">
        <v>525</v>
      </c>
      <c r="B905" s="20" t="s">
        <v>526</v>
      </c>
      <c r="C905" s="20" t="s">
        <v>50</v>
      </c>
      <c r="D905" s="72">
        <f>D906+D907</f>
        <v>0</v>
      </c>
      <c r="E905" s="81"/>
    </row>
    <row r="906" spans="1:5" ht="37.5" hidden="1" x14ac:dyDescent="0.3">
      <c r="A906" s="143" t="s">
        <v>425</v>
      </c>
      <c r="B906" s="20" t="s">
        <v>526</v>
      </c>
      <c r="C906" s="20" t="s">
        <v>59</v>
      </c>
      <c r="D906" s="72">
        <f>'В-25'!G547</f>
        <v>0</v>
      </c>
      <c r="E906" s="81"/>
    </row>
    <row r="907" spans="1:5" ht="18.75" hidden="1" x14ac:dyDescent="0.3">
      <c r="A907" s="143" t="s">
        <v>60</v>
      </c>
      <c r="B907" s="20" t="s">
        <v>526</v>
      </c>
      <c r="C907" s="20" t="s">
        <v>61</v>
      </c>
      <c r="D907" s="72">
        <f>'В-25'!G548</f>
        <v>0</v>
      </c>
      <c r="E907" s="81"/>
    </row>
    <row r="908" spans="1:5" ht="18.75" x14ac:dyDescent="0.3">
      <c r="A908" s="143" t="s">
        <v>188</v>
      </c>
      <c r="B908" s="14" t="s">
        <v>192</v>
      </c>
      <c r="C908" s="14" t="s">
        <v>50</v>
      </c>
      <c r="D908" s="72">
        <f>D909</f>
        <v>17367.900000000001</v>
      </c>
      <c r="E908" s="81"/>
    </row>
    <row r="909" spans="1:5" ht="18.75" x14ac:dyDescent="0.3">
      <c r="A909" s="143" t="s">
        <v>190</v>
      </c>
      <c r="B909" s="14" t="s">
        <v>192</v>
      </c>
      <c r="C909" s="14" t="s">
        <v>191</v>
      </c>
      <c r="D909" s="72">
        <f>'В-25'!G433+'В-25'!G1577</f>
        <v>17367.900000000001</v>
      </c>
      <c r="E909" s="81"/>
    </row>
    <row r="910" spans="1:5" ht="18.75" x14ac:dyDescent="0.3">
      <c r="A910" s="143" t="s">
        <v>184</v>
      </c>
      <c r="B910" s="15" t="s">
        <v>185</v>
      </c>
      <c r="C910" s="15" t="s">
        <v>50</v>
      </c>
      <c r="D910" s="72">
        <f>D912+D911</f>
        <v>100</v>
      </c>
      <c r="E910" s="81"/>
    </row>
    <row r="911" spans="1:5" ht="18.75" hidden="1" x14ac:dyDescent="0.3">
      <c r="A911" s="143" t="s">
        <v>175</v>
      </c>
      <c r="B911" s="15" t="s">
        <v>185</v>
      </c>
      <c r="C911" s="15" t="s">
        <v>176</v>
      </c>
      <c r="D911" s="72">
        <f>'[2]В-21'!G785</f>
        <v>0</v>
      </c>
      <c r="E911" s="81"/>
    </row>
    <row r="912" spans="1:5" ht="18.75" x14ac:dyDescent="0.3">
      <c r="A912" s="143" t="s">
        <v>60</v>
      </c>
      <c r="B912" s="15" t="s">
        <v>185</v>
      </c>
      <c r="C912" s="15" t="s">
        <v>61</v>
      </c>
      <c r="D912" s="72">
        <f>'В-25'!G406+'В-25'!G964</f>
        <v>100</v>
      </c>
      <c r="E912" s="81"/>
    </row>
    <row r="913" spans="1:5" ht="18.75" x14ac:dyDescent="0.3">
      <c r="A913" s="143" t="s">
        <v>316</v>
      </c>
      <c r="B913" s="14" t="s">
        <v>317</v>
      </c>
      <c r="C913" s="14" t="s">
        <v>50</v>
      </c>
      <c r="D913" s="72">
        <f>D914</f>
        <v>860</v>
      </c>
      <c r="E913" s="81"/>
    </row>
    <row r="914" spans="1:5" ht="18.75" x14ac:dyDescent="0.3">
      <c r="A914" s="143" t="s">
        <v>175</v>
      </c>
      <c r="B914" s="14" t="s">
        <v>317</v>
      </c>
      <c r="C914" s="14" t="s">
        <v>176</v>
      </c>
      <c r="D914" s="72">
        <f>'В-25'!G1423</f>
        <v>860</v>
      </c>
      <c r="E914" s="81"/>
    </row>
    <row r="915" spans="1:5" ht="56.25" hidden="1" x14ac:dyDescent="0.3">
      <c r="A915" s="143" t="s">
        <v>173</v>
      </c>
      <c r="B915" s="14" t="s">
        <v>844</v>
      </c>
      <c r="C915" s="14" t="s">
        <v>50</v>
      </c>
      <c r="D915" s="72">
        <f>D916</f>
        <v>20.3</v>
      </c>
      <c r="E915" s="81"/>
    </row>
    <row r="916" spans="1:5" ht="37.5" x14ac:dyDescent="0.3">
      <c r="A916" s="143" t="s">
        <v>232</v>
      </c>
      <c r="B916" s="113" t="s">
        <v>1160</v>
      </c>
      <c r="C916" s="14" t="s">
        <v>50</v>
      </c>
      <c r="D916" s="72">
        <f>D917</f>
        <v>20.3</v>
      </c>
      <c r="E916" s="81"/>
    </row>
    <row r="917" spans="1:5" ht="39.75" customHeight="1" x14ac:dyDescent="0.3">
      <c r="A917" s="143" t="s">
        <v>425</v>
      </c>
      <c r="B917" s="113" t="s">
        <v>1160</v>
      </c>
      <c r="C917" s="14" t="s">
        <v>59</v>
      </c>
      <c r="D917" s="72">
        <f>'В-25'!G602</f>
        <v>20.3</v>
      </c>
      <c r="E917" s="81"/>
    </row>
    <row r="918" spans="1:5" ht="75" x14ac:dyDescent="0.3">
      <c r="A918" s="187" t="s">
        <v>210</v>
      </c>
      <c r="B918" s="20" t="s">
        <v>1187</v>
      </c>
      <c r="C918" s="20" t="s">
        <v>50</v>
      </c>
      <c r="D918" s="72">
        <f>D919</f>
        <v>24</v>
      </c>
      <c r="E918" s="81"/>
    </row>
    <row r="919" spans="1:5" ht="37.5" x14ac:dyDescent="0.3">
      <c r="A919" s="143" t="s">
        <v>425</v>
      </c>
      <c r="B919" s="20" t="s">
        <v>1187</v>
      </c>
      <c r="C919" s="20" t="s">
        <v>59</v>
      </c>
      <c r="D919" s="72">
        <f>'В-25'!G541</f>
        <v>24</v>
      </c>
      <c r="E919" s="81"/>
    </row>
    <row r="920" spans="1:5" ht="18.75" hidden="1" x14ac:dyDescent="0.3">
      <c r="A920" s="143" t="s">
        <v>452</v>
      </c>
      <c r="B920" s="14" t="s">
        <v>453</v>
      </c>
      <c r="C920" s="14" t="s">
        <v>50</v>
      </c>
      <c r="D920" s="72">
        <f>D921</f>
        <v>0</v>
      </c>
      <c r="E920" s="81"/>
    </row>
    <row r="921" spans="1:5" ht="37.5" hidden="1" x14ac:dyDescent="0.3">
      <c r="A921" s="143" t="s">
        <v>425</v>
      </c>
      <c r="B921" s="14" t="s">
        <v>453</v>
      </c>
      <c r="C921" s="14" t="s">
        <v>59</v>
      </c>
      <c r="D921" s="72">
        <f>'В-25'!G604</f>
        <v>0</v>
      </c>
      <c r="E921" s="81"/>
    </row>
    <row r="922" spans="1:5" ht="75" hidden="1" x14ac:dyDescent="0.3">
      <c r="A922" s="143" t="s">
        <v>488</v>
      </c>
      <c r="B922" s="14" t="s">
        <v>489</v>
      </c>
      <c r="C922" s="14" t="s">
        <v>50</v>
      </c>
      <c r="D922" s="72">
        <f>D923</f>
        <v>0</v>
      </c>
      <c r="E922" s="81"/>
    </row>
    <row r="923" spans="1:5" ht="37.5" hidden="1" x14ac:dyDescent="0.3">
      <c r="A923" s="143" t="s">
        <v>425</v>
      </c>
      <c r="B923" s="14" t="s">
        <v>489</v>
      </c>
      <c r="C923" s="14" t="s">
        <v>59</v>
      </c>
      <c r="D923" s="72">
        <v>0</v>
      </c>
      <c r="E923" s="81"/>
    </row>
    <row r="924" spans="1:5" ht="56.25" hidden="1" x14ac:dyDescent="0.3">
      <c r="A924" s="232" t="s">
        <v>900</v>
      </c>
      <c r="B924" s="14" t="s">
        <v>917</v>
      </c>
      <c r="C924" s="14" t="s">
        <v>50</v>
      </c>
      <c r="D924" s="72">
        <f>D925</f>
        <v>0</v>
      </c>
      <c r="E924" s="81"/>
    </row>
    <row r="925" spans="1:5" ht="37.5" hidden="1" x14ac:dyDescent="0.3">
      <c r="A925" s="143" t="s">
        <v>425</v>
      </c>
      <c r="B925" s="14" t="s">
        <v>917</v>
      </c>
      <c r="C925" s="14" t="s">
        <v>59</v>
      </c>
      <c r="D925" s="72">
        <f>'В-25'!G606</f>
        <v>0</v>
      </c>
      <c r="E925" s="81"/>
    </row>
    <row r="926" spans="1:5" ht="47.25" hidden="1" customHeight="1" x14ac:dyDescent="0.3">
      <c r="A926" s="143" t="s">
        <v>928</v>
      </c>
      <c r="B926" s="14" t="s">
        <v>929</v>
      </c>
      <c r="C926" s="20" t="s">
        <v>50</v>
      </c>
      <c r="D926" s="72">
        <f>D927</f>
        <v>0</v>
      </c>
      <c r="E926" s="81"/>
    </row>
    <row r="927" spans="1:5" ht="75" hidden="1" x14ac:dyDescent="0.3">
      <c r="A927" s="143" t="s">
        <v>56</v>
      </c>
      <c r="B927" s="14" t="s">
        <v>929</v>
      </c>
      <c r="C927" s="14" t="s">
        <v>57</v>
      </c>
      <c r="D927" s="72">
        <f>'В-25'!G37+'В-25'!G401+'В-25'!G505+'В-25'!G536</f>
        <v>0</v>
      </c>
      <c r="E927" s="81"/>
    </row>
    <row r="928" spans="1:5" ht="56.25" x14ac:dyDescent="0.3">
      <c r="A928" s="169" t="s">
        <v>20</v>
      </c>
      <c r="B928" s="21" t="s">
        <v>21</v>
      </c>
      <c r="C928" s="9" t="s">
        <v>50</v>
      </c>
      <c r="D928" s="196">
        <f>D929+D937+D947</f>
        <v>120314.7</v>
      </c>
      <c r="E928" s="86"/>
    </row>
    <row r="929" spans="1:5" ht="58.5" x14ac:dyDescent="0.35">
      <c r="A929" s="179" t="s">
        <v>22</v>
      </c>
      <c r="B929" s="63" t="s">
        <v>23</v>
      </c>
      <c r="C929" s="64" t="s">
        <v>50</v>
      </c>
      <c r="D929" s="197">
        <f>D930+D934</f>
        <v>349.7</v>
      </c>
      <c r="E929" s="81"/>
    </row>
    <row r="930" spans="1:5" ht="18.75" x14ac:dyDescent="0.3">
      <c r="A930" s="143" t="s">
        <v>62</v>
      </c>
      <c r="B930" s="14" t="s">
        <v>222</v>
      </c>
      <c r="C930" s="14" t="s">
        <v>50</v>
      </c>
      <c r="D930" s="72">
        <f>D931</f>
        <v>349.7</v>
      </c>
      <c r="E930" s="81"/>
    </row>
    <row r="931" spans="1:5" ht="18.75" x14ac:dyDescent="0.3">
      <c r="A931" s="143" t="s">
        <v>221</v>
      </c>
      <c r="B931" s="14" t="s">
        <v>223</v>
      </c>
      <c r="C931" s="14" t="s">
        <v>50</v>
      </c>
      <c r="D931" s="72">
        <f>D932+D933</f>
        <v>349.7</v>
      </c>
      <c r="E931" s="81"/>
    </row>
    <row r="932" spans="1:5" ht="37.5" x14ac:dyDescent="0.3">
      <c r="A932" s="143" t="s">
        <v>425</v>
      </c>
      <c r="B932" s="14" t="s">
        <v>223</v>
      </c>
      <c r="C932" s="14" t="s">
        <v>59</v>
      </c>
      <c r="D932" s="72">
        <f>'В-25'!G611</f>
        <v>249.7</v>
      </c>
      <c r="E932" s="81"/>
    </row>
    <row r="933" spans="1:5" ht="18.75" x14ac:dyDescent="0.3">
      <c r="A933" s="143" t="s">
        <v>60</v>
      </c>
      <c r="B933" s="14" t="s">
        <v>223</v>
      </c>
      <c r="C933" s="14" t="s">
        <v>61</v>
      </c>
      <c r="D933" s="72">
        <f>'В-25'!G612</f>
        <v>100</v>
      </c>
      <c r="E933" s="81"/>
    </row>
    <row r="934" spans="1:5" ht="64.5" hidden="1" customHeight="1" x14ac:dyDescent="0.3">
      <c r="A934" s="188" t="s">
        <v>448</v>
      </c>
      <c r="B934" s="15" t="s">
        <v>449</v>
      </c>
      <c r="C934" s="14" t="s">
        <v>50</v>
      </c>
      <c r="D934" s="72">
        <f>D935+D936</f>
        <v>0</v>
      </c>
      <c r="E934" s="81"/>
    </row>
    <row r="935" spans="1:5" ht="37.5" hidden="1" x14ac:dyDescent="0.3">
      <c r="A935" s="143" t="s">
        <v>425</v>
      </c>
      <c r="B935" s="15" t="s">
        <v>449</v>
      </c>
      <c r="C935" s="14" t="s">
        <v>59</v>
      </c>
      <c r="D935" s="72">
        <f>'В-25'!G614</f>
        <v>0</v>
      </c>
      <c r="E935" s="81"/>
    </row>
    <row r="936" spans="1:5" ht="33" hidden="1" customHeight="1" x14ac:dyDescent="0.3">
      <c r="A936" s="143" t="s">
        <v>60</v>
      </c>
      <c r="B936" s="15" t="s">
        <v>449</v>
      </c>
      <c r="C936" s="14" t="s">
        <v>61</v>
      </c>
      <c r="D936" s="72">
        <f>'В-25'!G615</f>
        <v>0</v>
      </c>
      <c r="E936" s="81"/>
    </row>
    <row r="937" spans="1:5" ht="30.75" customHeight="1" x14ac:dyDescent="0.35">
      <c r="A937" s="168" t="s">
        <v>24</v>
      </c>
      <c r="B937" s="63" t="s">
        <v>446</v>
      </c>
      <c r="C937" s="64" t="s">
        <v>50</v>
      </c>
      <c r="D937" s="197">
        <f>D938+D941+D945+D943</f>
        <v>140</v>
      </c>
      <c r="E937" s="81"/>
    </row>
    <row r="938" spans="1:5" ht="18.75" x14ac:dyDescent="0.3">
      <c r="A938" s="143" t="s">
        <v>62</v>
      </c>
      <c r="B938" s="14" t="s">
        <v>445</v>
      </c>
      <c r="C938" s="14" t="s">
        <v>50</v>
      </c>
      <c r="D938" s="72">
        <f>D939</f>
        <v>140</v>
      </c>
      <c r="E938" s="81"/>
    </row>
    <row r="939" spans="1:5" ht="18.75" x14ac:dyDescent="0.3">
      <c r="A939" s="143" t="s">
        <v>221</v>
      </c>
      <c r="B939" s="14" t="s">
        <v>447</v>
      </c>
      <c r="C939" s="14" t="s">
        <v>50</v>
      </c>
      <c r="D939" s="72">
        <f>D940</f>
        <v>140</v>
      </c>
      <c r="E939" s="81"/>
    </row>
    <row r="940" spans="1:5" ht="37.5" x14ac:dyDescent="0.3">
      <c r="A940" s="143" t="s">
        <v>425</v>
      </c>
      <c r="B940" s="14" t="s">
        <v>447</v>
      </c>
      <c r="C940" s="14" t="s">
        <v>59</v>
      </c>
      <c r="D940" s="72">
        <f>'В-25'!G886</f>
        <v>140</v>
      </c>
      <c r="E940" s="81"/>
    </row>
    <row r="941" spans="1:5" ht="56.25" hidden="1" x14ac:dyDescent="0.3">
      <c r="A941" s="164" t="s">
        <v>493</v>
      </c>
      <c r="B941" s="15" t="s">
        <v>649</v>
      </c>
      <c r="C941" s="14" t="s">
        <v>50</v>
      </c>
      <c r="D941" s="72">
        <f>D942</f>
        <v>0</v>
      </c>
      <c r="E941" s="81"/>
    </row>
    <row r="942" spans="1:5" ht="18.75" hidden="1" x14ac:dyDescent="0.3">
      <c r="A942" s="143" t="s">
        <v>60</v>
      </c>
      <c r="B942" s="15" t="s">
        <v>649</v>
      </c>
      <c r="C942" s="14" t="s">
        <v>61</v>
      </c>
      <c r="D942" s="72">
        <f>'В-25'!G622</f>
        <v>0</v>
      </c>
      <c r="E942" s="81"/>
    </row>
    <row r="943" spans="1:5" ht="18.75" hidden="1" x14ac:dyDescent="0.3">
      <c r="A943" s="143" t="s">
        <v>528</v>
      </c>
      <c r="B943" s="14" t="s">
        <v>858</v>
      </c>
      <c r="C943" s="14" t="s">
        <v>50</v>
      </c>
      <c r="D943" s="72">
        <f>D944</f>
        <v>0</v>
      </c>
      <c r="E943" s="81"/>
    </row>
    <row r="944" spans="1:5" ht="37.5" hidden="1" x14ac:dyDescent="0.3">
      <c r="A944" s="143" t="s">
        <v>425</v>
      </c>
      <c r="B944" s="14" t="s">
        <v>858</v>
      </c>
      <c r="C944" s="14" t="s">
        <v>59</v>
      </c>
      <c r="D944" s="72">
        <f>'В-25'!G890</f>
        <v>0</v>
      </c>
      <c r="E944" s="81"/>
    </row>
    <row r="945" spans="1:5" ht="18.75" hidden="1" x14ac:dyDescent="0.3">
      <c r="A945" s="143" t="s">
        <v>528</v>
      </c>
      <c r="B945" s="14" t="s">
        <v>859</v>
      </c>
      <c r="C945" s="14" t="s">
        <v>50</v>
      </c>
      <c r="D945" s="72">
        <f>D946</f>
        <v>0</v>
      </c>
      <c r="E945" s="81"/>
    </row>
    <row r="946" spans="1:5" ht="37.5" hidden="1" x14ac:dyDescent="0.3">
      <c r="A946" s="143" t="s">
        <v>425</v>
      </c>
      <c r="B946" s="14" t="s">
        <v>810</v>
      </c>
      <c r="C946" s="14" t="s">
        <v>59</v>
      </c>
      <c r="D946" s="72">
        <f>'В-25'!G892</f>
        <v>0</v>
      </c>
      <c r="E946" s="81"/>
    </row>
    <row r="947" spans="1:5" ht="19.5" x14ac:dyDescent="0.35">
      <c r="A947" s="171" t="s">
        <v>409</v>
      </c>
      <c r="B947" s="63" t="s">
        <v>35</v>
      </c>
      <c r="C947" s="64" t="s">
        <v>50</v>
      </c>
      <c r="D947" s="197">
        <f>D948+D955+D958+D974+D960</f>
        <v>119825</v>
      </c>
      <c r="E947" s="81"/>
    </row>
    <row r="948" spans="1:5" ht="18.75" x14ac:dyDescent="0.3">
      <c r="A948" s="143" t="s">
        <v>62</v>
      </c>
      <c r="B948" s="14" t="s">
        <v>225</v>
      </c>
      <c r="C948" s="14" t="s">
        <v>50</v>
      </c>
      <c r="D948" s="72">
        <f>D949+D951+D953</f>
        <v>60</v>
      </c>
      <c r="E948" s="81"/>
    </row>
    <row r="949" spans="1:5" ht="18.75" hidden="1" outlineLevel="1" x14ac:dyDescent="0.3">
      <c r="A949" s="143" t="s">
        <v>224</v>
      </c>
      <c r="B949" s="14" t="s">
        <v>226</v>
      </c>
      <c r="C949" s="14" t="s">
        <v>50</v>
      </c>
      <c r="D949" s="72">
        <f>D950</f>
        <v>0</v>
      </c>
      <c r="E949" s="81"/>
    </row>
    <row r="950" spans="1:5" ht="18.75" hidden="1" outlineLevel="1" x14ac:dyDescent="0.3">
      <c r="A950" s="143" t="s">
        <v>58</v>
      </c>
      <c r="B950" s="14" t="s">
        <v>226</v>
      </c>
      <c r="C950" s="14" t="s">
        <v>59</v>
      </c>
      <c r="D950" s="72">
        <f>'[2]В-21'!G429</f>
        <v>0</v>
      </c>
      <c r="E950" s="81"/>
    </row>
    <row r="951" spans="1:5" ht="20.25" hidden="1" customHeight="1" collapsed="1" x14ac:dyDescent="0.3">
      <c r="A951" s="189" t="s">
        <v>269</v>
      </c>
      <c r="B951" s="14" t="s">
        <v>271</v>
      </c>
      <c r="C951" s="14" t="s">
        <v>50</v>
      </c>
      <c r="D951" s="72">
        <f>D952</f>
        <v>0</v>
      </c>
      <c r="E951" s="81"/>
    </row>
    <row r="952" spans="1:5" ht="37.5" hidden="1" x14ac:dyDescent="0.3">
      <c r="A952" s="143" t="s">
        <v>425</v>
      </c>
      <c r="B952" s="14" t="s">
        <v>271</v>
      </c>
      <c r="C952" s="14" t="s">
        <v>59</v>
      </c>
      <c r="D952" s="72">
        <f>'В-25'!G896</f>
        <v>0</v>
      </c>
      <c r="E952" s="81"/>
    </row>
    <row r="953" spans="1:5" ht="37.5" x14ac:dyDescent="0.3">
      <c r="A953" s="162" t="s">
        <v>272</v>
      </c>
      <c r="B953" s="14" t="s">
        <v>273</v>
      </c>
      <c r="C953" s="14" t="s">
        <v>50</v>
      </c>
      <c r="D953" s="72">
        <f>D954</f>
        <v>60</v>
      </c>
      <c r="E953" s="81"/>
    </row>
    <row r="954" spans="1:5" ht="37.5" x14ac:dyDescent="0.3">
      <c r="A954" s="143" t="s">
        <v>425</v>
      </c>
      <c r="B954" s="14" t="s">
        <v>273</v>
      </c>
      <c r="C954" s="1">
        <v>200</v>
      </c>
      <c r="D954" s="72">
        <f>'В-25'!G898</f>
        <v>60</v>
      </c>
      <c r="E954" s="81"/>
    </row>
    <row r="955" spans="1:5" ht="56.25" hidden="1" x14ac:dyDescent="0.3">
      <c r="A955" s="143" t="s">
        <v>249</v>
      </c>
      <c r="B955" s="14" t="s">
        <v>470</v>
      </c>
      <c r="C955" s="15" t="s">
        <v>50</v>
      </c>
      <c r="D955" s="72">
        <f>D956</f>
        <v>0</v>
      </c>
      <c r="E955" s="81"/>
    </row>
    <row r="956" spans="1:5" ht="18.75" hidden="1" x14ac:dyDescent="0.3">
      <c r="A956" s="143" t="s">
        <v>471</v>
      </c>
      <c r="B956" s="14" t="s">
        <v>469</v>
      </c>
      <c r="C956" s="15" t="s">
        <v>50</v>
      </c>
      <c r="D956" s="72">
        <f>D957</f>
        <v>0</v>
      </c>
      <c r="E956" s="81"/>
    </row>
    <row r="957" spans="1:5" ht="37.5" hidden="1" x14ac:dyDescent="0.3">
      <c r="A957" s="143" t="s">
        <v>425</v>
      </c>
      <c r="B957" s="14" t="s">
        <v>469</v>
      </c>
      <c r="C957" s="1">
        <v>200</v>
      </c>
      <c r="D957" s="72">
        <f>'В-25'!G901</f>
        <v>0</v>
      </c>
      <c r="E957" s="81"/>
    </row>
    <row r="958" spans="1:5" ht="37.5" hidden="1" x14ac:dyDescent="0.3">
      <c r="A958" s="143" t="s">
        <v>472</v>
      </c>
      <c r="B958" s="14" t="s">
        <v>473</v>
      </c>
      <c r="C958" s="15" t="s">
        <v>50</v>
      </c>
      <c r="D958" s="72">
        <f>D959</f>
        <v>0</v>
      </c>
      <c r="E958" s="81"/>
    </row>
    <row r="959" spans="1:5" ht="37.5" hidden="1" x14ac:dyDescent="0.3">
      <c r="A959" s="143" t="s">
        <v>425</v>
      </c>
      <c r="B959" s="14" t="s">
        <v>473</v>
      </c>
      <c r="C959" s="1">
        <v>200</v>
      </c>
      <c r="D959" s="72">
        <f>'В-25'!G903</f>
        <v>0</v>
      </c>
      <c r="E959" s="81"/>
    </row>
    <row r="960" spans="1:5" ht="37.5" x14ac:dyDescent="0.3">
      <c r="A960" s="143" t="s">
        <v>1130</v>
      </c>
      <c r="B960" s="113" t="s">
        <v>1181</v>
      </c>
      <c r="C960" s="1" t="s">
        <v>50</v>
      </c>
      <c r="D960" s="72">
        <f>D961</f>
        <v>119765</v>
      </c>
      <c r="E960" s="81"/>
    </row>
    <row r="961" spans="1:5" ht="18.75" x14ac:dyDescent="0.3">
      <c r="A961" s="143" t="s">
        <v>58</v>
      </c>
      <c r="B961" s="113" t="s">
        <v>1181</v>
      </c>
      <c r="C961" s="1" t="s">
        <v>59</v>
      </c>
      <c r="D961" s="72">
        <f>'В-25'!G967</f>
        <v>119765</v>
      </c>
      <c r="E961" s="81"/>
    </row>
    <row r="962" spans="1:5" ht="66" hidden="1" customHeight="1" x14ac:dyDescent="0.35">
      <c r="A962" s="177" t="s">
        <v>656</v>
      </c>
      <c r="B962" s="64" t="s">
        <v>657</v>
      </c>
      <c r="C962" s="64" t="s">
        <v>50</v>
      </c>
      <c r="D962" s="197">
        <f>D963+D976</f>
        <v>0</v>
      </c>
      <c r="E962" s="81"/>
    </row>
    <row r="963" spans="1:5" ht="18.75" hidden="1" x14ac:dyDescent="0.3">
      <c r="A963" s="163" t="s">
        <v>83</v>
      </c>
      <c r="B963" s="14" t="s">
        <v>658</v>
      </c>
      <c r="C963" s="14" t="s">
        <v>50</v>
      </c>
      <c r="D963" s="72">
        <f>D968+D964+D966</f>
        <v>0</v>
      </c>
      <c r="E963" s="81"/>
    </row>
    <row r="964" spans="1:5" ht="37.5" hidden="1" x14ac:dyDescent="0.3">
      <c r="A964" s="165" t="s">
        <v>783</v>
      </c>
      <c r="B964" s="14" t="s">
        <v>781</v>
      </c>
      <c r="C964" s="14" t="s">
        <v>50</v>
      </c>
      <c r="D964" s="72">
        <f>D965</f>
        <v>0</v>
      </c>
      <c r="E964" s="81"/>
    </row>
    <row r="965" spans="1:5" ht="37.5" hidden="1" x14ac:dyDescent="0.3">
      <c r="A965" s="143" t="s">
        <v>290</v>
      </c>
      <c r="B965" s="14" t="s">
        <v>781</v>
      </c>
      <c r="C965" s="14" t="s">
        <v>291</v>
      </c>
      <c r="D965" s="72">
        <f>'В-25'!G921</f>
        <v>0</v>
      </c>
      <c r="E965" s="81"/>
    </row>
    <row r="966" spans="1:5" ht="37.5" hidden="1" x14ac:dyDescent="0.3">
      <c r="A966" s="165" t="s">
        <v>783</v>
      </c>
      <c r="B966" s="14" t="s">
        <v>782</v>
      </c>
      <c r="C966" s="14" t="s">
        <v>50</v>
      </c>
      <c r="D966" s="72">
        <f>D967</f>
        <v>0</v>
      </c>
      <c r="E966" s="81"/>
    </row>
    <row r="967" spans="1:5" ht="37.5" hidden="1" x14ac:dyDescent="0.3">
      <c r="A967" s="143" t="s">
        <v>290</v>
      </c>
      <c r="B967" s="14" t="s">
        <v>782</v>
      </c>
      <c r="C967" s="14" t="s">
        <v>291</v>
      </c>
      <c r="D967" s="72">
        <f>'В-25'!G923</f>
        <v>0</v>
      </c>
      <c r="E967" s="81"/>
    </row>
    <row r="968" spans="1:5" ht="37.5" hidden="1" x14ac:dyDescent="0.3">
      <c r="A968" s="165" t="s">
        <v>351</v>
      </c>
      <c r="B968" s="14" t="s">
        <v>659</v>
      </c>
      <c r="C968" s="14" t="s">
        <v>50</v>
      </c>
      <c r="D968" s="72">
        <f>D969</f>
        <v>0</v>
      </c>
      <c r="E968" s="81"/>
    </row>
    <row r="969" spans="1:5" ht="37.5" hidden="1" x14ac:dyDescent="0.3">
      <c r="A969" s="165" t="s">
        <v>660</v>
      </c>
      <c r="B969" s="14" t="s">
        <v>661</v>
      </c>
      <c r="C969" s="14" t="s">
        <v>50</v>
      </c>
      <c r="D969" s="72">
        <f>D970+D972</f>
        <v>0</v>
      </c>
      <c r="E969" s="81"/>
    </row>
    <row r="970" spans="1:5" ht="56.25" hidden="1" x14ac:dyDescent="0.3">
      <c r="A970" s="232" t="s">
        <v>1145</v>
      </c>
      <c r="B970" s="113" t="s">
        <v>1143</v>
      </c>
      <c r="C970" s="14" t="s">
        <v>50</v>
      </c>
      <c r="D970" s="72">
        <f>D971</f>
        <v>0</v>
      </c>
      <c r="E970" s="81"/>
    </row>
    <row r="971" spans="1:5" ht="37.5" hidden="1" x14ac:dyDescent="0.3">
      <c r="A971" s="143" t="s">
        <v>290</v>
      </c>
      <c r="B971" s="113" t="s">
        <v>1143</v>
      </c>
      <c r="C971" s="14" t="s">
        <v>291</v>
      </c>
      <c r="D971" s="72">
        <f>'В-25'!G927</f>
        <v>0</v>
      </c>
      <c r="E971" s="81"/>
    </row>
    <row r="972" spans="1:5" ht="56.25" hidden="1" x14ac:dyDescent="0.3">
      <c r="A972" s="232" t="s">
        <v>662</v>
      </c>
      <c r="B972" s="113" t="s">
        <v>1144</v>
      </c>
      <c r="C972" s="14" t="s">
        <v>50</v>
      </c>
      <c r="D972" s="72">
        <f>D973</f>
        <v>0</v>
      </c>
      <c r="E972" s="81"/>
    </row>
    <row r="973" spans="1:5" ht="37.5" hidden="1" x14ac:dyDescent="0.3">
      <c r="A973" s="143" t="s">
        <v>290</v>
      </c>
      <c r="B973" s="113" t="s">
        <v>1144</v>
      </c>
      <c r="C973" s="14" t="s">
        <v>291</v>
      </c>
      <c r="D973" s="72">
        <f>'В-25'!G929</f>
        <v>0</v>
      </c>
      <c r="E973" s="81"/>
    </row>
    <row r="974" spans="1:5" ht="37.5" hidden="1" x14ac:dyDescent="0.3">
      <c r="A974" s="143" t="s">
        <v>1130</v>
      </c>
      <c r="B974" s="44" t="s">
        <v>1129</v>
      </c>
      <c r="C974" s="44" t="s">
        <v>50</v>
      </c>
      <c r="D974" s="72"/>
      <c r="E974" s="81"/>
    </row>
    <row r="975" spans="1:5" ht="18.75" hidden="1" x14ac:dyDescent="0.3">
      <c r="A975" s="143" t="s">
        <v>58</v>
      </c>
      <c r="B975" s="44" t="s">
        <v>1129</v>
      </c>
      <c r="C975" s="44" t="s">
        <v>59</v>
      </c>
      <c r="D975" s="72"/>
      <c r="E975" s="81"/>
    </row>
    <row r="976" spans="1:5" ht="37.5" hidden="1" x14ac:dyDescent="0.3">
      <c r="A976" s="232" t="s">
        <v>1146</v>
      </c>
      <c r="B976" s="113" t="s">
        <v>1147</v>
      </c>
      <c r="C976" s="14" t="s">
        <v>50</v>
      </c>
      <c r="D976" s="72">
        <f>D977</f>
        <v>0</v>
      </c>
      <c r="E976" s="81"/>
    </row>
    <row r="977" spans="1:5" ht="37.5" hidden="1" x14ac:dyDescent="0.3">
      <c r="A977" s="143" t="s">
        <v>290</v>
      </c>
      <c r="B977" s="113" t="s">
        <v>1147</v>
      </c>
      <c r="C977" s="14" t="s">
        <v>291</v>
      </c>
      <c r="D977" s="72">
        <f>'В-25'!G931</f>
        <v>0</v>
      </c>
      <c r="E977" s="81"/>
    </row>
    <row r="978" spans="1:5" ht="58.5" x14ac:dyDescent="0.35">
      <c r="A978" s="263" t="s">
        <v>949</v>
      </c>
      <c r="B978" s="64" t="s">
        <v>947</v>
      </c>
      <c r="C978" s="64" t="s">
        <v>50</v>
      </c>
      <c r="D978" s="197">
        <f>D979</f>
        <v>4</v>
      </c>
      <c r="E978" s="81"/>
    </row>
    <row r="979" spans="1:5" ht="18.75" x14ac:dyDescent="0.3">
      <c r="A979" s="143" t="s">
        <v>793</v>
      </c>
      <c r="B979" s="14" t="s">
        <v>948</v>
      </c>
      <c r="C979" s="14" t="s">
        <v>50</v>
      </c>
      <c r="D979" s="72">
        <f>D980</f>
        <v>4</v>
      </c>
      <c r="E979" s="81"/>
    </row>
    <row r="980" spans="1:5" ht="37.5" x14ac:dyDescent="0.3">
      <c r="A980" s="143" t="s">
        <v>425</v>
      </c>
      <c r="B980" s="14" t="s">
        <v>948</v>
      </c>
      <c r="C980" s="14" t="s">
        <v>59</v>
      </c>
      <c r="D980" s="72">
        <f>'В-25'!G694</f>
        <v>4</v>
      </c>
      <c r="E980" s="81"/>
    </row>
    <row r="981" spans="1:5" ht="37.5" x14ac:dyDescent="0.3">
      <c r="A981" s="169" t="s">
        <v>413</v>
      </c>
      <c r="B981" s="76" t="s">
        <v>397</v>
      </c>
      <c r="C981" s="9" t="s">
        <v>50</v>
      </c>
      <c r="D981" s="196">
        <f>D982</f>
        <v>1364.1</v>
      </c>
      <c r="E981" s="81"/>
    </row>
    <row r="982" spans="1:5" ht="56.25" x14ac:dyDescent="0.3">
      <c r="A982" s="143" t="s">
        <v>103</v>
      </c>
      <c r="B982" s="36" t="s">
        <v>503</v>
      </c>
      <c r="C982" s="14" t="s">
        <v>50</v>
      </c>
      <c r="D982" s="72">
        <f>D983+D985</f>
        <v>1364.1</v>
      </c>
      <c r="E982" s="81"/>
    </row>
    <row r="983" spans="1:5" ht="37.5" x14ac:dyDescent="0.3">
      <c r="A983" s="143" t="s">
        <v>105</v>
      </c>
      <c r="B983" s="15" t="s">
        <v>398</v>
      </c>
      <c r="C983" s="15" t="s">
        <v>50</v>
      </c>
      <c r="D983" s="72">
        <f>D984</f>
        <v>1364.1</v>
      </c>
      <c r="E983" s="81"/>
    </row>
    <row r="984" spans="1:5" ht="75" x14ac:dyDescent="0.3">
      <c r="A984" s="143" t="s">
        <v>56</v>
      </c>
      <c r="B984" s="15" t="s">
        <v>398</v>
      </c>
      <c r="C984" s="15" t="s">
        <v>57</v>
      </c>
      <c r="D984" s="72">
        <f>'В-25'!G1588</f>
        <v>1364.1</v>
      </c>
      <c r="E984" s="81"/>
    </row>
    <row r="985" spans="1:5" ht="33" hidden="1" customHeight="1" x14ac:dyDescent="0.3">
      <c r="A985" s="162" t="s">
        <v>374</v>
      </c>
      <c r="B985" s="15" t="s">
        <v>517</v>
      </c>
      <c r="C985" s="15" t="s">
        <v>50</v>
      </c>
      <c r="D985" s="72">
        <f>D986</f>
        <v>0</v>
      </c>
      <c r="E985" s="81"/>
    </row>
    <row r="986" spans="1:5" ht="75" hidden="1" x14ac:dyDescent="0.3">
      <c r="A986" s="143" t="s">
        <v>56</v>
      </c>
      <c r="B986" s="15" t="s">
        <v>517</v>
      </c>
      <c r="C986" s="15" t="s">
        <v>57</v>
      </c>
      <c r="D986" s="72">
        <f>'В-25'!G1590</f>
        <v>0</v>
      </c>
      <c r="E986" s="81"/>
    </row>
    <row r="987" spans="1:5" ht="15.75" x14ac:dyDescent="0.25">
      <c r="A987" s="190"/>
      <c r="B987" s="60"/>
      <c r="C987" s="59"/>
      <c r="D987" s="199"/>
      <c r="E987" s="81"/>
    </row>
    <row r="988" spans="1:5" ht="15.75" x14ac:dyDescent="0.25">
      <c r="A988" s="190"/>
      <c r="B988" s="60"/>
      <c r="C988" s="59"/>
      <c r="D988" s="199"/>
      <c r="E988" s="81"/>
    </row>
    <row r="989" spans="1:5" ht="15.75" x14ac:dyDescent="0.25">
      <c r="A989" s="190"/>
      <c r="B989" s="60"/>
      <c r="C989" s="59"/>
      <c r="D989" s="199"/>
      <c r="E989" s="81"/>
    </row>
    <row r="990" spans="1:5" ht="15.75" x14ac:dyDescent="0.25">
      <c r="A990" s="190"/>
      <c r="B990" s="60"/>
      <c r="C990" s="59"/>
      <c r="D990" s="199"/>
      <c r="E990" s="81"/>
    </row>
    <row r="991" spans="1:5" ht="15.75" x14ac:dyDescent="0.25">
      <c r="A991" s="190"/>
      <c r="B991" s="60"/>
      <c r="C991" s="59"/>
      <c r="D991" s="199"/>
      <c r="E991" s="81"/>
    </row>
    <row r="992" spans="1:5" ht="15.75" x14ac:dyDescent="0.25">
      <c r="A992" s="190"/>
      <c r="B992" s="60"/>
      <c r="C992" s="59"/>
      <c r="D992" s="199"/>
      <c r="E992" s="81"/>
    </row>
    <row r="993" spans="1:5" ht="15.75" x14ac:dyDescent="0.25">
      <c r="A993" s="190"/>
      <c r="B993" s="60"/>
      <c r="C993" s="59"/>
      <c r="D993" s="199"/>
      <c r="E993" s="81"/>
    </row>
    <row r="994" spans="1:5" ht="15.75" x14ac:dyDescent="0.25">
      <c r="A994" s="190"/>
      <c r="B994" s="60"/>
      <c r="C994" s="59"/>
      <c r="D994" s="199"/>
      <c r="E994" s="81"/>
    </row>
    <row r="995" spans="1:5" ht="15.75" x14ac:dyDescent="0.25">
      <c r="A995" s="190"/>
      <c r="B995" s="60"/>
      <c r="C995" s="59"/>
      <c r="D995" s="199"/>
      <c r="E995" s="81"/>
    </row>
    <row r="996" spans="1:5" ht="15.75" x14ac:dyDescent="0.25">
      <c r="A996" s="190"/>
      <c r="B996" s="60"/>
      <c r="C996" s="59"/>
      <c r="D996" s="199"/>
      <c r="E996" s="81"/>
    </row>
    <row r="997" spans="1:5" ht="15.75" x14ac:dyDescent="0.25">
      <c r="A997" s="190"/>
      <c r="B997" s="60"/>
      <c r="C997" s="59"/>
      <c r="D997" s="199"/>
      <c r="E997" s="81"/>
    </row>
    <row r="998" spans="1:5" ht="15.75" x14ac:dyDescent="0.25">
      <c r="A998" s="190"/>
      <c r="B998" s="60"/>
      <c r="C998" s="59"/>
      <c r="D998" s="199"/>
      <c r="E998" s="81"/>
    </row>
    <row r="999" spans="1:5" ht="15.75" x14ac:dyDescent="0.25">
      <c r="A999" s="190"/>
      <c r="B999" s="61"/>
      <c r="C999" s="59"/>
      <c r="D999" s="199"/>
      <c r="E999" s="81"/>
    </row>
    <row r="1000" spans="1:5" ht="15.75" x14ac:dyDescent="0.25">
      <c r="A1000" s="190"/>
      <c r="B1000" s="61"/>
      <c r="C1000" s="59"/>
      <c r="D1000" s="199"/>
      <c r="E1000" s="81"/>
    </row>
    <row r="1001" spans="1:5" ht="15.75" x14ac:dyDescent="0.25">
      <c r="A1001" s="190"/>
      <c r="B1001" s="61"/>
      <c r="C1001" s="59"/>
      <c r="D1001" s="199"/>
      <c r="E1001" s="81"/>
    </row>
    <row r="1002" spans="1:5" ht="15.75" x14ac:dyDescent="0.25">
      <c r="A1002" s="190"/>
      <c r="B1002" s="61"/>
      <c r="C1002" s="59"/>
      <c r="D1002" s="199"/>
      <c r="E1002" s="81"/>
    </row>
    <row r="1003" spans="1:5" ht="15.75" x14ac:dyDescent="0.25">
      <c r="A1003" s="190"/>
      <c r="B1003" s="61"/>
      <c r="C1003" s="59"/>
      <c r="D1003" s="199"/>
      <c r="E1003" s="81"/>
    </row>
    <row r="1004" spans="1:5" ht="15.75" x14ac:dyDescent="0.25">
      <c r="A1004" s="190"/>
      <c r="B1004" s="61"/>
      <c r="C1004" s="59"/>
      <c r="D1004" s="199"/>
      <c r="E1004" s="81"/>
    </row>
    <row r="1005" spans="1:5" ht="15.75" x14ac:dyDescent="0.25">
      <c r="A1005" s="190"/>
      <c r="B1005" s="61"/>
      <c r="C1005" s="59"/>
      <c r="D1005" s="199"/>
      <c r="E1005" s="81"/>
    </row>
    <row r="1006" spans="1:5" ht="15.75" x14ac:dyDescent="0.25">
      <c r="A1006" s="190"/>
      <c r="B1006" s="61"/>
      <c r="C1006" s="59"/>
      <c r="D1006" s="199"/>
      <c r="E1006" s="81"/>
    </row>
    <row r="1007" spans="1:5" ht="15.75" x14ac:dyDescent="0.25">
      <c r="A1007" s="190"/>
      <c r="B1007" s="61"/>
      <c r="C1007" s="59"/>
      <c r="D1007" s="199"/>
      <c r="E1007" s="81"/>
    </row>
    <row r="1008" spans="1:5" ht="15.75" x14ac:dyDescent="0.25">
      <c r="A1008" s="190"/>
      <c r="B1008" s="61"/>
      <c r="C1008" s="59"/>
      <c r="D1008" s="199"/>
      <c r="E1008" s="81"/>
    </row>
    <row r="1009" spans="1:5" ht="15.75" x14ac:dyDescent="0.25">
      <c r="A1009" s="190"/>
      <c r="B1009" s="61"/>
      <c r="C1009" s="59"/>
      <c r="D1009" s="199"/>
      <c r="E1009" s="81"/>
    </row>
    <row r="1010" spans="1:5" ht="15.75" x14ac:dyDescent="0.25">
      <c r="A1010" s="190"/>
      <c r="B1010" s="61"/>
      <c r="C1010" s="59"/>
      <c r="D1010" s="199"/>
      <c r="E1010" s="81"/>
    </row>
    <row r="1011" spans="1:5" ht="15.75" x14ac:dyDescent="0.25">
      <c r="A1011" s="190"/>
      <c r="B1011" s="61"/>
      <c r="C1011" s="59"/>
      <c r="D1011" s="199"/>
      <c r="E1011" s="81"/>
    </row>
    <row r="1012" spans="1:5" ht="15.75" x14ac:dyDescent="0.25">
      <c r="A1012" s="190"/>
      <c r="B1012" s="61"/>
      <c r="C1012" s="59"/>
      <c r="D1012" s="199"/>
      <c r="E1012" s="81"/>
    </row>
    <row r="1013" spans="1:5" ht="15.75" x14ac:dyDescent="0.25">
      <c r="A1013" s="190"/>
      <c r="B1013" s="61"/>
      <c r="C1013" s="59"/>
      <c r="D1013" s="199"/>
      <c r="E1013" s="81"/>
    </row>
    <row r="1014" spans="1:5" ht="15.75" x14ac:dyDescent="0.25">
      <c r="A1014" s="190"/>
      <c r="B1014" s="61"/>
      <c r="C1014" s="59"/>
      <c r="D1014" s="199"/>
      <c r="E1014" s="81"/>
    </row>
    <row r="1015" spans="1:5" ht="15.75" x14ac:dyDescent="0.25">
      <c r="A1015" s="190"/>
      <c r="B1015" s="61"/>
      <c r="C1015" s="59"/>
      <c r="D1015" s="199"/>
      <c r="E1015" s="81"/>
    </row>
    <row r="1016" spans="1:5" ht="15.75" x14ac:dyDescent="0.25">
      <c r="A1016" s="190"/>
      <c r="B1016" s="61"/>
      <c r="C1016" s="59"/>
      <c r="D1016" s="199"/>
      <c r="E1016" s="81"/>
    </row>
    <row r="1017" spans="1:5" ht="15.75" x14ac:dyDescent="0.25">
      <c r="A1017" s="190"/>
      <c r="B1017" s="61"/>
      <c r="C1017" s="59"/>
      <c r="D1017" s="199"/>
      <c r="E1017" s="81"/>
    </row>
    <row r="1018" spans="1:5" ht="15.75" x14ac:dyDescent="0.25">
      <c r="A1018" s="190"/>
      <c r="B1018" s="61"/>
      <c r="C1018" s="59"/>
      <c r="D1018" s="199"/>
      <c r="E1018" s="81"/>
    </row>
    <row r="1019" spans="1:5" ht="15.75" x14ac:dyDescent="0.25">
      <c r="A1019" s="190"/>
      <c r="B1019" s="61"/>
      <c r="C1019" s="59"/>
      <c r="D1019" s="199"/>
      <c r="E1019" s="81"/>
    </row>
    <row r="1020" spans="1:5" ht="15.75" x14ac:dyDescent="0.25">
      <c r="A1020" s="190"/>
      <c r="B1020" s="61"/>
      <c r="C1020" s="59"/>
      <c r="D1020" s="199"/>
      <c r="E1020" s="81"/>
    </row>
    <row r="1021" spans="1:5" ht="15.75" x14ac:dyDescent="0.25">
      <c r="A1021" s="190"/>
      <c r="B1021" s="61"/>
      <c r="C1021" s="59"/>
      <c r="D1021" s="199"/>
      <c r="E1021" s="81"/>
    </row>
    <row r="1022" spans="1:5" ht="15.75" x14ac:dyDescent="0.25">
      <c r="A1022" s="190"/>
      <c r="B1022" s="61"/>
      <c r="C1022" s="59"/>
      <c r="D1022" s="199"/>
      <c r="E1022" s="81"/>
    </row>
    <row r="1023" spans="1:5" ht="15.75" x14ac:dyDescent="0.25">
      <c r="A1023" s="190"/>
      <c r="B1023" s="61"/>
      <c r="C1023" s="59"/>
      <c r="D1023" s="199"/>
      <c r="E1023" s="81"/>
    </row>
    <row r="1024" spans="1:5" ht="15.75" x14ac:dyDescent="0.25">
      <c r="A1024" s="190"/>
      <c r="B1024" s="61"/>
      <c r="C1024" s="59"/>
      <c r="D1024" s="199"/>
      <c r="E1024" s="81"/>
    </row>
    <row r="1025" spans="1:5" ht="15.75" x14ac:dyDescent="0.25">
      <c r="A1025" s="190"/>
      <c r="B1025" s="61"/>
      <c r="C1025" s="59"/>
      <c r="D1025" s="199"/>
      <c r="E1025" s="81"/>
    </row>
    <row r="1026" spans="1:5" ht="15.75" x14ac:dyDescent="0.25">
      <c r="A1026" s="190"/>
      <c r="B1026" s="61"/>
      <c r="C1026" s="59"/>
      <c r="D1026" s="199"/>
      <c r="E1026" s="81"/>
    </row>
    <row r="1027" spans="1:5" ht="15.75" x14ac:dyDescent="0.25">
      <c r="A1027" s="190"/>
      <c r="B1027" s="61"/>
      <c r="C1027" s="59"/>
      <c r="D1027" s="199"/>
      <c r="E1027" s="81"/>
    </row>
    <row r="1028" spans="1:5" ht="15.75" x14ac:dyDescent="0.25">
      <c r="A1028" s="190"/>
      <c r="B1028" s="61"/>
      <c r="C1028" s="59"/>
      <c r="D1028" s="199"/>
      <c r="E1028" s="81"/>
    </row>
    <row r="1029" spans="1:5" ht="15.75" x14ac:dyDescent="0.25">
      <c r="A1029" s="190"/>
      <c r="B1029" s="61"/>
      <c r="C1029" s="59"/>
      <c r="D1029" s="199"/>
      <c r="E1029" s="81"/>
    </row>
    <row r="1030" spans="1:5" ht="15.75" x14ac:dyDescent="0.25">
      <c r="A1030" s="190"/>
      <c r="B1030" s="61"/>
      <c r="C1030" s="59"/>
      <c r="D1030" s="199"/>
      <c r="E1030" s="81"/>
    </row>
    <row r="1031" spans="1:5" ht="15.75" x14ac:dyDescent="0.25">
      <c r="A1031" s="190"/>
      <c r="B1031" s="61"/>
      <c r="C1031" s="59"/>
      <c r="D1031" s="199"/>
      <c r="E1031" s="81"/>
    </row>
    <row r="1032" spans="1:5" ht="15.75" x14ac:dyDescent="0.25">
      <c r="A1032" s="190"/>
      <c r="B1032" s="61"/>
      <c r="C1032" s="59"/>
      <c r="D1032" s="199"/>
      <c r="E1032" s="81"/>
    </row>
    <row r="1033" spans="1:5" ht="15.75" x14ac:dyDescent="0.25">
      <c r="A1033" s="190"/>
      <c r="B1033" s="61"/>
      <c r="C1033" s="59"/>
      <c r="D1033" s="199"/>
      <c r="E1033" s="81"/>
    </row>
    <row r="1034" spans="1:5" ht="15.75" x14ac:dyDescent="0.25">
      <c r="A1034" s="190"/>
      <c r="B1034" s="61"/>
      <c r="C1034" s="59"/>
      <c r="D1034" s="199"/>
      <c r="E1034" s="81"/>
    </row>
    <row r="1035" spans="1:5" ht="15.75" x14ac:dyDescent="0.25">
      <c r="A1035" s="190"/>
      <c r="B1035" s="61"/>
      <c r="C1035" s="59"/>
      <c r="D1035" s="199"/>
      <c r="E1035" s="81"/>
    </row>
    <row r="1036" spans="1:5" ht="15.75" x14ac:dyDescent="0.25">
      <c r="A1036" s="190"/>
      <c r="B1036" s="61"/>
      <c r="C1036" s="59"/>
      <c r="D1036" s="199"/>
      <c r="E1036" s="81"/>
    </row>
    <row r="1037" spans="1:5" ht="15.75" x14ac:dyDescent="0.25">
      <c r="A1037" s="190"/>
      <c r="B1037" s="61"/>
      <c r="C1037" s="59"/>
      <c r="D1037" s="199"/>
      <c r="E1037" s="81"/>
    </row>
    <row r="1038" spans="1:5" ht="15.75" x14ac:dyDescent="0.25">
      <c r="A1038" s="190"/>
      <c r="B1038" s="61"/>
      <c r="C1038" s="59"/>
      <c r="D1038" s="199"/>
      <c r="E1038" s="81"/>
    </row>
    <row r="1039" spans="1:5" ht="15.75" x14ac:dyDescent="0.25">
      <c r="A1039" s="190"/>
      <c r="B1039" s="61"/>
      <c r="C1039" s="59"/>
      <c r="D1039" s="199"/>
      <c r="E1039" s="81"/>
    </row>
    <row r="1040" spans="1:5" ht="15.75" x14ac:dyDescent="0.25">
      <c r="A1040" s="190"/>
      <c r="B1040" s="61"/>
      <c r="C1040" s="59"/>
      <c r="D1040" s="199"/>
      <c r="E1040" s="81"/>
    </row>
    <row r="1041" spans="1:5" ht="15.75" x14ac:dyDescent="0.25">
      <c r="A1041" s="190"/>
      <c r="B1041" s="61"/>
      <c r="C1041" s="59"/>
      <c r="D1041" s="199"/>
      <c r="E1041" s="81"/>
    </row>
    <row r="1042" spans="1:5" ht="15.75" x14ac:dyDescent="0.25">
      <c r="A1042" s="190"/>
      <c r="B1042" s="61"/>
      <c r="C1042" s="59"/>
      <c r="D1042" s="199"/>
      <c r="E1042" s="81"/>
    </row>
    <row r="1043" spans="1:5" ht="15.75" x14ac:dyDescent="0.25">
      <c r="A1043" s="190"/>
      <c r="B1043" s="61"/>
      <c r="C1043" s="59"/>
      <c r="D1043" s="199"/>
      <c r="E1043" s="81"/>
    </row>
    <row r="1044" spans="1:5" ht="15.75" x14ac:dyDescent="0.25">
      <c r="A1044" s="190"/>
      <c r="B1044" s="61"/>
      <c r="C1044" s="59"/>
      <c r="D1044" s="199"/>
      <c r="E1044" s="81"/>
    </row>
    <row r="1045" spans="1:5" ht="15.75" x14ac:dyDescent="0.25">
      <c r="A1045" s="190"/>
      <c r="B1045" s="61"/>
      <c r="C1045" s="59"/>
      <c r="D1045" s="199"/>
      <c r="E1045" s="81"/>
    </row>
    <row r="1046" spans="1:5" ht="15.75" x14ac:dyDescent="0.25">
      <c r="A1046" s="190"/>
      <c r="B1046" s="61"/>
      <c r="C1046" s="59"/>
      <c r="D1046" s="199"/>
      <c r="E1046" s="81"/>
    </row>
    <row r="1047" spans="1:5" ht="15.75" x14ac:dyDescent="0.25">
      <c r="A1047" s="190"/>
      <c r="B1047" s="61"/>
      <c r="C1047" s="59"/>
      <c r="D1047" s="199"/>
      <c r="E1047" s="81"/>
    </row>
    <row r="1048" spans="1:5" ht="15.75" x14ac:dyDescent="0.25">
      <c r="A1048" s="190"/>
      <c r="B1048" s="61"/>
      <c r="C1048" s="59"/>
      <c r="D1048" s="199"/>
      <c r="E1048" s="81"/>
    </row>
    <row r="1049" spans="1:5" ht="15.75" x14ac:dyDescent="0.25">
      <c r="A1049" s="190"/>
      <c r="B1049" s="61"/>
      <c r="C1049" s="59"/>
      <c r="D1049" s="199"/>
      <c r="E1049" s="81"/>
    </row>
    <row r="1050" spans="1:5" ht="15.75" x14ac:dyDescent="0.25">
      <c r="A1050" s="190"/>
      <c r="B1050" s="61"/>
      <c r="C1050" s="59"/>
      <c r="D1050" s="199"/>
      <c r="E1050" s="81"/>
    </row>
    <row r="1051" spans="1:5" ht="15.75" x14ac:dyDescent="0.25">
      <c r="A1051" s="190"/>
      <c r="B1051" s="61"/>
      <c r="C1051" s="59"/>
      <c r="D1051" s="199"/>
      <c r="E1051" s="81"/>
    </row>
    <row r="1052" spans="1:5" ht="15.75" x14ac:dyDescent="0.25">
      <c r="A1052" s="190"/>
      <c r="B1052" s="61"/>
      <c r="C1052" s="59"/>
      <c r="D1052" s="199"/>
      <c r="E1052" s="81"/>
    </row>
    <row r="1053" spans="1:5" ht="15.75" x14ac:dyDescent="0.25">
      <c r="A1053" s="190"/>
      <c r="B1053" s="61"/>
      <c r="C1053" s="59"/>
      <c r="D1053" s="199"/>
      <c r="E1053" s="81"/>
    </row>
    <row r="1054" spans="1:5" ht="15.75" x14ac:dyDescent="0.25">
      <c r="A1054" s="190"/>
      <c r="B1054" s="61"/>
      <c r="C1054" s="59"/>
      <c r="D1054" s="199"/>
      <c r="E1054" s="81"/>
    </row>
    <row r="1055" spans="1:5" ht="15.75" x14ac:dyDescent="0.25">
      <c r="A1055" s="190"/>
      <c r="B1055" s="61"/>
      <c r="C1055" s="59"/>
      <c r="D1055" s="199"/>
      <c r="E1055" s="81"/>
    </row>
    <row r="1056" spans="1:5" ht="15.75" x14ac:dyDescent="0.25">
      <c r="A1056" s="190"/>
      <c r="B1056" s="61"/>
      <c r="C1056" s="59"/>
      <c r="D1056" s="199"/>
      <c r="E1056" s="81"/>
    </row>
    <row r="1057" spans="1:5" ht="15.75" x14ac:dyDescent="0.25">
      <c r="A1057" s="190"/>
      <c r="B1057" s="61"/>
      <c r="C1057" s="59"/>
      <c r="D1057" s="199"/>
      <c r="E1057" s="81"/>
    </row>
    <row r="1058" spans="1:5" ht="15.75" x14ac:dyDescent="0.25">
      <c r="A1058" s="190"/>
      <c r="B1058" s="61"/>
      <c r="C1058" s="59"/>
      <c r="D1058" s="199"/>
      <c r="E1058" s="81"/>
    </row>
    <row r="1059" spans="1:5" ht="15.75" x14ac:dyDescent="0.25">
      <c r="A1059" s="190"/>
      <c r="B1059" s="61"/>
      <c r="C1059" s="59"/>
      <c r="D1059" s="199"/>
      <c r="E1059" s="81"/>
    </row>
    <row r="1060" spans="1:5" ht="15.75" x14ac:dyDescent="0.25">
      <c r="A1060" s="190"/>
      <c r="B1060" s="61"/>
      <c r="C1060" s="59"/>
      <c r="D1060" s="199"/>
      <c r="E1060" s="81"/>
    </row>
    <row r="1061" spans="1:5" ht="15.75" x14ac:dyDescent="0.25">
      <c r="A1061" s="190"/>
      <c r="B1061" s="61"/>
      <c r="C1061" s="59"/>
      <c r="D1061" s="199"/>
      <c r="E1061" s="81"/>
    </row>
    <row r="1062" spans="1:5" ht="15.75" x14ac:dyDescent="0.25">
      <c r="A1062" s="190"/>
      <c r="B1062" s="61"/>
      <c r="C1062" s="59"/>
      <c r="D1062" s="199"/>
      <c r="E1062" s="81"/>
    </row>
    <row r="1063" spans="1:5" ht="15.75" x14ac:dyDescent="0.25">
      <c r="A1063" s="190"/>
      <c r="B1063" s="61"/>
      <c r="C1063" s="59"/>
      <c r="D1063" s="199"/>
      <c r="E1063" s="81"/>
    </row>
    <row r="1064" spans="1:5" ht="15.75" x14ac:dyDescent="0.25">
      <c r="A1064" s="190"/>
      <c r="B1064" s="61"/>
      <c r="C1064" s="59"/>
      <c r="D1064" s="199"/>
      <c r="E1064" s="81"/>
    </row>
    <row r="1065" spans="1:5" ht="15.75" x14ac:dyDescent="0.25">
      <c r="A1065" s="190"/>
      <c r="B1065" s="61"/>
      <c r="C1065" s="59"/>
      <c r="D1065" s="199"/>
      <c r="E1065" s="81"/>
    </row>
    <row r="1066" spans="1:5" ht="15.75" x14ac:dyDescent="0.25">
      <c r="A1066" s="190"/>
      <c r="B1066" s="61"/>
      <c r="C1066" s="59"/>
      <c r="D1066" s="199"/>
      <c r="E1066" s="81"/>
    </row>
    <row r="1067" spans="1:5" ht="15.75" x14ac:dyDescent="0.25">
      <c r="A1067" s="190"/>
      <c r="B1067" s="61"/>
      <c r="C1067" s="59"/>
      <c r="D1067" s="199"/>
      <c r="E1067" s="81"/>
    </row>
    <row r="1068" spans="1:5" ht="15.75" x14ac:dyDescent="0.25">
      <c r="A1068" s="190"/>
      <c r="B1068" s="61"/>
      <c r="C1068" s="59"/>
      <c r="D1068" s="199"/>
      <c r="E1068" s="81"/>
    </row>
    <row r="1069" spans="1:5" ht="15.75" x14ac:dyDescent="0.25">
      <c r="A1069" s="190"/>
      <c r="B1069" s="61"/>
      <c r="C1069" s="59"/>
      <c r="D1069" s="199"/>
      <c r="E1069" s="81"/>
    </row>
    <row r="1070" spans="1:5" ht="15.75" x14ac:dyDescent="0.25">
      <c r="A1070" s="190"/>
      <c r="B1070" s="61"/>
      <c r="C1070" s="59"/>
      <c r="D1070" s="199"/>
      <c r="E1070" s="81"/>
    </row>
    <row r="1071" spans="1:5" ht="15.75" x14ac:dyDescent="0.25">
      <c r="A1071" s="190"/>
      <c r="B1071" s="61"/>
      <c r="C1071" s="59"/>
      <c r="D1071" s="199"/>
      <c r="E1071" s="81"/>
    </row>
    <row r="1072" spans="1:5" ht="15.75" x14ac:dyDescent="0.25">
      <c r="A1072" s="190"/>
      <c r="B1072" s="61"/>
      <c r="C1072" s="59"/>
      <c r="D1072" s="199"/>
      <c r="E1072" s="81"/>
    </row>
    <row r="1073" spans="1:5" ht="15.75" x14ac:dyDescent="0.25">
      <c r="A1073" s="190"/>
      <c r="B1073" s="61"/>
      <c r="C1073" s="59"/>
      <c r="D1073" s="199"/>
      <c r="E1073" s="81"/>
    </row>
    <row r="1074" spans="1:5" ht="15.75" x14ac:dyDescent="0.25">
      <c r="A1074" s="190"/>
      <c r="B1074" s="61"/>
      <c r="C1074" s="59"/>
      <c r="D1074" s="199"/>
      <c r="E1074" s="81"/>
    </row>
    <row r="1075" spans="1:5" ht="15.75" x14ac:dyDescent="0.25">
      <c r="A1075" s="190"/>
      <c r="B1075" s="61"/>
      <c r="C1075" s="59"/>
      <c r="D1075" s="199"/>
      <c r="E1075" s="81"/>
    </row>
    <row r="1076" spans="1:5" ht="15.75" x14ac:dyDescent="0.25">
      <c r="A1076" s="190"/>
      <c r="B1076" s="61"/>
      <c r="C1076" s="59"/>
      <c r="D1076" s="199"/>
      <c r="E1076" s="81"/>
    </row>
    <row r="1077" spans="1:5" ht="15.75" x14ac:dyDescent="0.25">
      <c r="A1077" s="190"/>
      <c r="B1077" s="61"/>
      <c r="C1077" s="59"/>
      <c r="D1077" s="199"/>
      <c r="E1077" s="81"/>
    </row>
    <row r="1078" spans="1:5" ht="15.75" x14ac:dyDescent="0.25">
      <c r="A1078" s="190"/>
      <c r="B1078" s="61"/>
      <c r="C1078" s="59"/>
      <c r="D1078" s="199"/>
      <c r="E1078" s="81"/>
    </row>
    <row r="1079" spans="1:5" ht="15.75" x14ac:dyDescent="0.25">
      <c r="A1079" s="190"/>
      <c r="B1079" s="61"/>
      <c r="C1079" s="59"/>
      <c r="D1079" s="199"/>
      <c r="E1079" s="81"/>
    </row>
    <row r="1080" spans="1:5" ht="15.75" x14ac:dyDescent="0.25">
      <c r="A1080" s="190"/>
      <c r="B1080" s="61"/>
      <c r="C1080" s="59"/>
      <c r="D1080" s="199"/>
      <c r="E1080" s="81"/>
    </row>
    <row r="1081" spans="1:5" ht="15.75" x14ac:dyDescent="0.25">
      <c r="A1081" s="190"/>
      <c r="B1081" s="61"/>
      <c r="C1081" s="59"/>
      <c r="D1081" s="199"/>
      <c r="E1081" s="81"/>
    </row>
    <row r="1082" spans="1:5" ht="15.75" x14ac:dyDescent="0.25">
      <c r="A1082" s="190"/>
      <c r="B1082" s="61"/>
      <c r="C1082" s="59"/>
      <c r="D1082" s="199"/>
      <c r="E1082" s="81"/>
    </row>
    <row r="1083" spans="1:5" ht="15.75" x14ac:dyDescent="0.25">
      <c r="A1083" s="190"/>
      <c r="B1083" s="61"/>
      <c r="C1083" s="59"/>
      <c r="D1083" s="199"/>
      <c r="E1083" s="81"/>
    </row>
    <row r="1084" spans="1:5" ht="15.75" x14ac:dyDescent="0.25">
      <c r="A1084" s="190"/>
      <c r="B1084" s="61"/>
      <c r="C1084" s="59"/>
      <c r="D1084" s="199"/>
      <c r="E1084" s="81"/>
    </row>
    <row r="1085" spans="1:5" ht="15.75" x14ac:dyDescent="0.25">
      <c r="A1085" s="190"/>
      <c r="B1085" s="61"/>
      <c r="C1085" s="59"/>
      <c r="D1085" s="199"/>
      <c r="E1085" s="81"/>
    </row>
    <row r="1086" spans="1:5" ht="15.75" x14ac:dyDescent="0.25">
      <c r="A1086" s="190"/>
      <c r="B1086" s="61"/>
      <c r="C1086" s="59"/>
      <c r="D1086" s="199"/>
      <c r="E1086" s="81"/>
    </row>
    <row r="1087" spans="1:5" ht="15.75" x14ac:dyDescent="0.25">
      <c r="A1087" s="190"/>
      <c r="B1087" s="61"/>
      <c r="C1087" s="59"/>
      <c r="D1087" s="199"/>
      <c r="E1087" s="81"/>
    </row>
    <row r="1088" spans="1:5" ht="15.75" x14ac:dyDescent="0.25">
      <c r="A1088" s="190"/>
      <c r="B1088" s="61"/>
      <c r="C1088" s="59"/>
      <c r="D1088" s="199"/>
      <c r="E1088" s="81"/>
    </row>
    <row r="1089" spans="1:5" ht="15.75" x14ac:dyDescent="0.25">
      <c r="A1089" s="190"/>
      <c r="B1089" s="61"/>
      <c r="C1089" s="59"/>
      <c r="D1089" s="199"/>
      <c r="E1089" s="81"/>
    </row>
    <row r="1090" spans="1:5" ht="15.75" x14ac:dyDescent="0.25">
      <c r="A1090" s="190"/>
      <c r="B1090" s="61"/>
      <c r="C1090" s="59"/>
      <c r="D1090" s="199"/>
      <c r="E1090" s="81"/>
    </row>
    <row r="1091" spans="1:5" ht="15.75" x14ac:dyDescent="0.25">
      <c r="A1091" s="190"/>
      <c r="B1091" s="61"/>
      <c r="C1091" s="59"/>
      <c r="D1091" s="199"/>
      <c r="E1091" s="81"/>
    </row>
    <row r="1092" spans="1:5" ht="15.75" x14ac:dyDescent="0.25">
      <c r="A1092" s="190"/>
      <c r="B1092" s="61"/>
      <c r="C1092" s="59"/>
      <c r="D1092" s="199"/>
      <c r="E1092" s="81"/>
    </row>
    <row r="1093" spans="1:5" ht="15.75" x14ac:dyDescent="0.25">
      <c r="A1093" s="190"/>
      <c r="B1093" s="61"/>
      <c r="C1093" s="59"/>
      <c r="D1093" s="199"/>
      <c r="E1093" s="81"/>
    </row>
    <row r="1094" spans="1:5" ht="15.75" x14ac:dyDescent="0.25">
      <c r="A1094" s="190"/>
      <c r="B1094" s="61"/>
      <c r="C1094" s="59"/>
      <c r="D1094" s="199"/>
      <c r="E1094" s="81"/>
    </row>
    <row r="1095" spans="1:5" ht="15.75" x14ac:dyDescent="0.25">
      <c r="A1095" s="190"/>
      <c r="B1095" s="61"/>
      <c r="C1095" s="59"/>
      <c r="D1095" s="199"/>
      <c r="E1095" s="81"/>
    </row>
    <row r="1096" spans="1:5" ht="15.75" x14ac:dyDescent="0.25">
      <c r="A1096" s="190"/>
      <c r="B1096" s="61"/>
      <c r="C1096" s="59"/>
      <c r="D1096" s="199"/>
      <c r="E1096" s="81"/>
    </row>
    <row r="1097" spans="1:5" ht="15.75" x14ac:dyDescent="0.25">
      <c r="A1097" s="190"/>
      <c r="B1097" s="61"/>
      <c r="C1097" s="59"/>
      <c r="D1097" s="199"/>
      <c r="E1097" s="81"/>
    </row>
    <row r="1098" spans="1:5" ht="15.75" x14ac:dyDescent="0.25">
      <c r="A1098" s="190"/>
      <c r="B1098" s="61"/>
      <c r="C1098" s="59"/>
      <c r="D1098" s="199"/>
      <c r="E1098" s="81"/>
    </row>
    <row r="1099" spans="1:5" ht="15.75" x14ac:dyDescent="0.25">
      <c r="A1099" s="190"/>
      <c r="B1099" s="61"/>
      <c r="C1099" s="59"/>
      <c r="D1099" s="199"/>
      <c r="E1099" s="81"/>
    </row>
    <row r="1100" spans="1:5" ht="15.75" x14ac:dyDescent="0.25">
      <c r="A1100" s="190"/>
      <c r="B1100" s="61"/>
      <c r="C1100" s="59"/>
      <c r="D1100" s="199"/>
      <c r="E1100" s="81"/>
    </row>
    <row r="1101" spans="1:5" ht="15.75" x14ac:dyDescent="0.25">
      <c r="A1101" s="190"/>
      <c r="B1101" s="61"/>
      <c r="C1101" s="59"/>
      <c r="D1101" s="199"/>
      <c r="E1101" s="81"/>
    </row>
    <row r="1102" spans="1:5" ht="15.75" x14ac:dyDescent="0.25">
      <c r="A1102" s="190"/>
      <c r="B1102" s="61"/>
      <c r="C1102" s="59"/>
      <c r="D1102" s="199"/>
      <c r="E1102" s="81"/>
    </row>
    <row r="1103" spans="1:5" ht="15.75" x14ac:dyDescent="0.25">
      <c r="A1103" s="190"/>
      <c r="B1103" s="61"/>
      <c r="C1103" s="59"/>
      <c r="D1103" s="199"/>
      <c r="E1103" s="81"/>
    </row>
    <row r="1104" spans="1:5" ht="15.75" x14ac:dyDescent="0.25">
      <c r="A1104" s="190"/>
      <c r="B1104" s="61"/>
      <c r="C1104" s="59"/>
      <c r="D1104" s="199"/>
      <c r="E1104" s="81"/>
    </row>
    <row r="1105" spans="1:5" ht="15.75" x14ac:dyDescent="0.25">
      <c r="A1105" s="190"/>
      <c r="B1105" s="61"/>
      <c r="C1105" s="59"/>
      <c r="D1105" s="199"/>
      <c r="E1105" s="81"/>
    </row>
    <row r="1106" spans="1:5" ht="15.75" x14ac:dyDescent="0.25">
      <c r="A1106" s="190"/>
      <c r="B1106" s="61"/>
      <c r="C1106" s="59"/>
      <c r="D1106" s="199"/>
      <c r="E1106" s="81"/>
    </row>
    <row r="1107" spans="1:5" ht="15.75" x14ac:dyDescent="0.25">
      <c r="A1107" s="190"/>
      <c r="B1107" s="61"/>
      <c r="C1107" s="59"/>
      <c r="D1107" s="199"/>
      <c r="E1107" s="81"/>
    </row>
    <row r="1108" spans="1:5" ht="15.75" x14ac:dyDescent="0.25">
      <c r="A1108" s="190"/>
      <c r="B1108" s="61"/>
      <c r="C1108" s="59"/>
      <c r="D1108" s="199"/>
      <c r="E1108" s="81"/>
    </row>
    <row r="1109" spans="1:5" ht="15.75" x14ac:dyDescent="0.25">
      <c r="A1109" s="190"/>
      <c r="B1109" s="61"/>
      <c r="C1109" s="59"/>
      <c r="D1109" s="199"/>
      <c r="E1109" s="81"/>
    </row>
    <row r="1110" spans="1:5" ht="15.75" x14ac:dyDescent="0.25">
      <c r="A1110" s="190"/>
      <c r="B1110" s="61"/>
      <c r="C1110" s="59"/>
      <c r="D1110" s="199"/>
      <c r="E1110" s="81"/>
    </row>
    <row r="1111" spans="1:5" ht="15.75" x14ac:dyDescent="0.25">
      <c r="A1111" s="190"/>
      <c r="B1111" s="61"/>
      <c r="C1111" s="59"/>
      <c r="D1111" s="199"/>
      <c r="E1111" s="81"/>
    </row>
    <row r="1112" spans="1:5" ht="15.75" x14ac:dyDescent="0.25">
      <c r="A1112" s="190"/>
      <c r="B1112" s="61"/>
      <c r="C1112" s="59"/>
      <c r="D1112" s="199"/>
      <c r="E1112" s="81"/>
    </row>
    <row r="1113" spans="1:5" ht="15.75" x14ac:dyDescent="0.25">
      <c r="A1113" s="190"/>
      <c r="B1113" s="61"/>
      <c r="C1113" s="59"/>
      <c r="D1113" s="199"/>
      <c r="E1113" s="81"/>
    </row>
    <row r="1114" spans="1:5" ht="15.75" x14ac:dyDescent="0.25">
      <c r="A1114" s="190"/>
      <c r="B1114" s="61"/>
      <c r="C1114" s="59"/>
      <c r="D1114" s="199"/>
      <c r="E1114" s="81"/>
    </row>
    <row r="1115" spans="1:5" ht="15.75" x14ac:dyDescent="0.25">
      <c r="A1115" s="190"/>
      <c r="B1115" s="61"/>
      <c r="C1115" s="59"/>
      <c r="D1115" s="199"/>
      <c r="E1115" s="81"/>
    </row>
    <row r="1116" spans="1:5" ht="15.75" x14ac:dyDescent="0.25">
      <c r="A1116" s="190"/>
      <c r="B1116" s="61"/>
      <c r="C1116" s="59"/>
      <c r="D1116" s="199"/>
      <c r="E1116" s="81"/>
    </row>
    <row r="1117" spans="1:5" ht="15.75" x14ac:dyDescent="0.25">
      <c r="A1117" s="190"/>
      <c r="B1117" s="61"/>
      <c r="C1117" s="59"/>
      <c r="D1117" s="199"/>
      <c r="E1117" s="81"/>
    </row>
    <row r="1118" spans="1:5" ht="15.75" x14ac:dyDescent="0.25">
      <c r="A1118" s="190"/>
      <c r="B1118" s="61"/>
      <c r="C1118" s="59"/>
      <c r="D1118" s="199"/>
      <c r="E1118" s="81"/>
    </row>
    <row r="1119" spans="1:5" ht="15.75" x14ac:dyDescent="0.25">
      <c r="A1119" s="190"/>
      <c r="B1119" s="61"/>
      <c r="C1119" s="59"/>
      <c r="D1119" s="199"/>
      <c r="E1119" s="81"/>
    </row>
    <row r="1120" spans="1:5" ht="15.75" x14ac:dyDescent="0.25">
      <c r="A1120" s="190"/>
      <c r="B1120" s="61"/>
      <c r="C1120" s="59"/>
      <c r="D1120" s="199"/>
      <c r="E1120" s="81"/>
    </row>
    <row r="1121" spans="1:5" ht="15.75" x14ac:dyDescent="0.25">
      <c r="A1121" s="190"/>
      <c r="B1121" s="61"/>
      <c r="C1121" s="59"/>
      <c r="D1121" s="199"/>
      <c r="E1121" s="81"/>
    </row>
    <row r="1122" spans="1:5" ht="15.75" x14ac:dyDescent="0.25">
      <c r="A1122" s="190"/>
      <c r="B1122" s="61"/>
      <c r="C1122" s="59"/>
      <c r="D1122" s="199"/>
      <c r="E1122" s="81"/>
    </row>
    <row r="1123" spans="1:5" ht="15.75" x14ac:dyDescent="0.25">
      <c r="A1123" s="190"/>
      <c r="B1123" s="61"/>
      <c r="C1123" s="59"/>
      <c r="D1123" s="199"/>
      <c r="E1123" s="81"/>
    </row>
    <row r="1124" spans="1:5" ht="15.75" x14ac:dyDescent="0.25">
      <c r="A1124" s="190"/>
      <c r="B1124" s="61"/>
      <c r="C1124" s="59"/>
      <c r="D1124" s="199"/>
      <c r="E1124" s="81"/>
    </row>
    <row r="1125" spans="1:5" ht="15.75" x14ac:dyDescent="0.25">
      <c r="A1125" s="190"/>
      <c r="B1125" s="61"/>
      <c r="C1125" s="59"/>
      <c r="D1125" s="199"/>
      <c r="E1125" s="81"/>
    </row>
    <row r="1126" spans="1:5" ht="15.75" x14ac:dyDescent="0.25">
      <c r="A1126" s="190"/>
      <c r="B1126" s="61"/>
      <c r="C1126" s="59"/>
      <c r="D1126" s="199"/>
      <c r="E1126" s="81"/>
    </row>
    <row r="1127" spans="1:5" ht="15.75" x14ac:dyDescent="0.25">
      <c r="A1127" s="190"/>
      <c r="B1127" s="61"/>
      <c r="C1127" s="59"/>
      <c r="D1127" s="199"/>
      <c r="E1127" s="81"/>
    </row>
    <row r="1128" spans="1:5" ht="15.75" x14ac:dyDescent="0.25">
      <c r="A1128" s="190"/>
      <c r="B1128" s="61"/>
      <c r="C1128" s="59"/>
      <c r="D1128" s="199"/>
      <c r="E1128" s="81"/>
    </row>
    <row r="1129" spans="1:5" ht="15.75" x14ac:dyDescent="0.25">
      <c r="A1129" s="190"/>
      <c r="B1129" s="61"/>
      <c r="C1129" s="59"/>
      <c r="D1129" s="199"/>
      <c r="E1129" s="81"/>
    </row>
    <row r="1130" spans="1:5" ht="15.75" x14ac:dyDescent="0.25">
      <c r="A1130" s="190"/>
      <c r="B1130" s="61"/>
      <c r="C1130" s="59"/>
      <c r="D1130" s="199"/>
      <c r="E1130" s="81"/>
    </row>
    <row r="1131" spans="1:5" ht="15.75" x14ac:dyDescent="0.25">
      <c r="A1131" s="190"/>
      <c r="B1131" s="61"/>
      <c r="C1131" s="59"/>
      <c r="D1131" s="199"/>
      <c r="E1131" s="81"/>
    </row>
    <row r="1132" spans="1:5" ht="15.75" x14ac:dyDescent="0.25">
      <c r="A1132" s="190"/>
      <c r="B1132" s="61"/>
      <c r="C1132" s="59"/>
      <c r="D1132" s="199"/>
    </row>
    <row r="1133" spans="1:5" ht="15.75" x14ac:dyDescent="0.25">
      <c r="A1133" s="190"/>
      <c r="B1133" s="61"/>
      <c r="C1133" s="59"/>
      <c r="D1133" s="199"/>
    </row>
    <row r="1134" spans="1:5" ht="15.75" x14ac:dyDescent="0.25">
      <c r="A1134" s="190"/>
      <c r="B1134" s="61"/>
      <c r="C1134" s="59"/>
      <c r="D1134" s="199"/>
    </row>
    <row r="1135" spans="1:5" ht="15.75" x14ac:dyDescent="0.25">
      <c r="A1135" s="190"/>
      <c r="B1135" s="61"/>
      <c r="C1135" s="59"/>
      <c r="D1135" s="199"/>
    </row>
    <row r="1136" spans="1:5" ht="15.75" x14ac:dyDescent="0.25">
      <c r="A1136" s="190"/>
      <c r="B1136" s="61"/>
      <c r="C1136" s="59"/>
      <c r="D1136" s="199"/>
    </row>
    <row r="1137" spans="1:4" ht="15.75" x14ac:dyDescent="0.25">
      <c r="A1137" s="190"/>
      <c r="B1137" s="61"/>
      <c r="C1137" s="59"/>
      <c r="D1137" s="199"/>
    </row>
    <row r="1138" spans="1:4" ht="15.75" x14ac:dyDescent="0.25">
      <c r="A1138" s="190"/>
      <c r="B1138" s="61"/>
      <c r="C1138" s="59"/>
      <c r="D1138" s="199"/>
    </row>
    <row r="1139" spans="1:4" ht="15.75" x14ac:dyDescent="0.25">
      <c r="A1139" s="190"/>
      <c r="B1139" s="61"/>
      <c r="C1139" s="59"/>
      <c r="D1139" s="199"/>
    </row>
    <row r="1140" spans="1:4" ht="15.75" x14ac:dyDescent="0.25">
      <c r="A1140" s="190"/>
      <c r="B1140" s="61"/>
      <c r="C1140" s="59"/>
      <c r="D1140" s="199"/>
    </row>
    <row r="1141" spans="1:4" ht="15.75" x14ac:dyDescent="0.25">
      <c r="A1141" s="190"/>
      <c r="B1141" s="61"/>
      <c r="C1141" s="59"/>
      <c r="D1141" s="199"/>
    </row>
    <row r="1142" spans="1:4" ht="15.75" x14ac:dyDescent="0.25">
      <c r="A1142" s="190"/>
      <c r="B1142" s="61"/>
      <c r="C1142" s="59"/>
      <c r="D1142" s="199"/>
    </row>
    <row r="1143" spans="1:4" ht="15.75" x14ac:dyDescent="0.25">
      <c r="A1143" s="190"/>
      <c r="B1143" s="61"/>
      <c r="C1143" s="59"/>
      <c r="D1143" s="199"/>
    </row>
    <row r="1144" spans="1:4" ht="15.75" x14ac:dyDescent="0.25">
      <c r="A1144" s="190"/>
      <c r="B1144" s="61"/>
      <c r="C1144" s="59"/>
      <c r="D1144" s="199"/>
    </row>
    <row r="1145" spans="1:4" ht="15.75" x14ac:dyDescent="0.25">
      <c r="A1145" s="190"/>
      <c r="B1145" s="61"/>
      <c r="C1145" s="59"/>
      <c r="D1145" s="199"/>
    </row>
    <row r="1146" spans="1:4" ht="15.75" x14ac:dyDescent="0.25">
      <c r="A1146" s="190"/>
      <c r="B1146" s="61"/>
      <c r="C1146" s="59"/>
      <c r="D1146" s="199"/>
    </row>
    <row r="1147" spans="1:4" ht="15.75" x14ac:dyDescent="0.25">
      <c r="A1147" s="190"/>
      <c r="B1147" s="61"/>
      <c r="C1147" s="59"/>
      <c r="D1147" s="199"/>
    </row>
    <row r="1148" spans="1:4" ht="15.75" x14ac:dyDescent="0.25">
      <c r="A1148" s="190"/>
      <c r="B1148" s="61"/>
      <c r="C1148" s="59"/>
      <c r="D1148" s="199"/>
    </row>
    <row r="1149" spans="1:4" ht="15.75" x14ac:dyDescent="0.25">
      <c r="A1149" s="190"/>
      <c r="B1149" s="61"/>
      <c r="C1149" s="59"/>
      <c r="D1149" s="199"/>
    </row>
    <row r="1150" spans="1:4" ht="15.75" x14ac:dyDescent="0.25">
      <c r="A1150" s="190"/>
      <c r="B1150" s="59"/>
      <c r="C1150" s="59"/>
      <c r="D1150" s="199"/>
    </row>
    <row r="1151" spans="1:4" ht="15.75" x14ac:dyDescent="0.25">
      <c r="A1151" s="190"/>
      <c r="B1151" s="59"/>
      <c r="C1151" s="59"/>
      <c r="D1151" s="199"/>
    </row>
    <row r="1152" spans="1:4" ht="15.75" x14ac:dyDescent="0.25">
      <c r="A1152" s="190"/>
      <c r="B1152" s="59"/>
      <c r="C1152" s="59"/>
      <c r="D1152" s="199"/>
    </row>
    <row r="1153" spans="1:4" ht="15.75" x14ac:dyDescent="0.25">
      <c r="A1153" s="190"/>
      <c r="B1153" s="59"/>
      <c r="C1153" s="59"/>
      <c r="D1153" s="199"/>
    </row>
    <row r="1154" spans="1:4" ht="15.75" x14ac:dyDescent="0.25">
      <c r="A1154" s="190"/>
      <c r="B1154" s="59"/>
      <c r="C1154" s="59"/>
      <c r="D1154" s="199"/>
    </row>
    <row r="1155" spans="1:4" ht="15.75" x14ac:dyDescent="0.25">
      <c r="A1155" s="190"/>
      <c r="B1155" s="59"/>
      <c r="C1155" s="59"/>
      <c r="D1155" s="199"/>
    </row>
    <row r="1156" spans="1:4" ht="15.75" x14ac:dyDescent="0.25">
      <c r="A1156" s="190"/>
      <c r="B1156" s="59"/>
      <c r="C1156" s="59"/>
      <c r="D1156" s="199"/>
    </row>
    <row r="1157" spans="1:4" ht="15.75" x14ac:dyDescent="0.25">
      <c r="A1157" s="190"/>
      <c r="B1157" s="59"/>
      <c r="C1157" s="59"/>
      <c r="D1157" s="199"/>
    </row>
    <row r="1158" spans="1:4" ht="15.75" x14ac:dyDescent="0.25">
      <c r="A1158" s="190"/>
      <c r="B1158" s="62"/>
      <c r="C1158" s="62"/>
      <c r="D1158" s="200"/>
    </row>
    <row r="1159" spans="1:4" x14ac:dyDescent="0.2">
      <c r="A1159" s="191"/>
      <c r="B1159" s="62"/>
      <c r="C1159" s="62"/>
      <c r="D1159" s="200"/>
    </row>
    <row r="1160" spans="1:4" x14ac:dyDescent="0.2">
      <c r="A1160" s="191"/>
      <c r="B1160" s="62"/>
      <c r="C1160" s="62"/>
      <c r="D1160" s="200"/>
    </row>
    <row r="1161" spans="1:4" x14ac:dyDescent="0.2">
      <c r="A1161" s="191"/>
      <c r="B1161" s="62"/>
      <c r="C1161" s="62"/>
      <c r="D1161" s="200"/>
    </row>
    <row r="1162" spans="1:4" x14ac:dyDescent="0.2">
      <c r="A1162" s="191"/>
      <c r="B1162" s="62"/>
      <c r="C1162" s="62"/>
      <c r="D1162" s="200"/>
    </row>
    <row r="1163" spans="1:4" x14ac:dyDescent="0.2">
      <c r="A1163" s="191"/>
      <c r="B1163" s="62"/>
      <c r="C1163" s="62"/>
      <c r="D1163" s="200"/>
    </row>
    <row r="1164" spans="1:4" x14ac:dyDescent="0.2">
      <c r="A1164" s="191"/>
      <c r="B1164" s="62"/>
      <c r="C1164" s="62"/>
      <c r="D1164" s="200"/>
    </row>
    <row r="1165" spans="1:4" x14ac:dyDescent="0.2">
      <c r="A1165" s="191"/>
      <c r="B1165" s="62"/>
      <c r="C1165" s="62"/>
      <c r="D1165" s="200"/>
    </row>
    <row r="1166" spans="1:4" x14ac:dyDescent="0.2">
      <c r="A1166" s="191"/>
      <c r="B1166" s="62"/>
      <c r="C1166" s="62"/>
      <c r="D1166" s="200"/>
    </row>
    <row r="1167" spans="1:4" x14ac:dyDescent="0.2">
      <c r="A1167" s="191"/>
      <c r="B1167" s="62"/>
      <c r="C1167" s="62"/>
      <c r="D1167" s="200"/>
    </row>
    <row r="1168" spans="1:4" x14ac:dyDescent="0.2">
      <c r="A1168" s="191"/>
      <c r="B1168" s="62"/>
      <c r="C1168" s="62"/>
      <c r="D1168" s="200"/>
    </row>
    <row r="1169" spans="1:4" x14ac:dyDescent="0.2">
      <c r="A1169" s="191"/>
      <c r="B1169" s="62"/>
      <c r="C1169" s="62"/>
      <c r="D1169" s="200"/>
    </row>
    <row r="1170" spans="1:4" x14ac:dyDescent="0.2">
      <c r="A1170" s="191"/>
      <c r="B1170" s="62"/>
      <c r="C1170" s="62"/>
      <c r="D1170" s="200"/>
    </row>
    <row r="1171" spans="1:4" x14ac:dyDescent="0.2">
      <c r="A1171" s="191"/>
      <c r="B1171" s="62"/>
      <c r="C1171" s="62"/>
      <c r="D1171" s="200"/>
    </row>
    <row r="1172" spans="1:4" x14ac:dyDescent="0.2">
      <c r="A1172" s="191"/>
      <c r="B1172" s="62"/>
      <c r="C1172" s="62"/>
      <c r="D1172" s="200"/>
    </row>
    <row r="1173" spans="1:4" x14ac:dyDescent="0.2">
      <c r="A1173" s="191"/>
      <c r="B1173" s="62"/>
      <c r="C1173" s="62"/>
      <c r="D1173" s="200"/>
    </row>
    <row r="1174" spans="1:4" x14ac:dyDescent="0.2">
      <c r="A1174" s="191"/>
      <c r="B1174" s="62"/>
      <c r="C1174" s="62"/>
      <c r="D1174" s="200"/>
    </row>
    <row r="1175" spans="1:4" x14ac:dyDescent="0.2">
      <c r="A1175" s="191"/>
      <c r="B1175" s="62"/>
      <c r="C1175" s="62"/>
      <c r="D1175" s="200"/>
    </row>
    <row r="1176" spans="1:4" x14ac:dyDescent="0.2">
      <c r="A1176" s="191"/>
      <c r="B1176" s="62"/>
      <c r="C1176" s="62"/>
      <c r="D1176" s="200"/>
    </row>
    <row r="1177" spans="1:4" x14ac:dyDescent="0.2">
      <c r="A1177" s="191"/>
      <c r="B1177" s="62"/>
      <c r="C1177" s="62"/>
      <c r="D1177" s="200"/>
    </row>
    <row r="1178" spans="1:4" x14ac:dyDescent="0.2">
      <c r="A1178" s="191"/>
      <c r="B1178" s="62"/>
      <c r="C1178" s="62"/>
      <c r="D1178" s="200"/>
    </row>
    <row r="1179" spans="1:4" x14ac:dyDescent="0.2">
      <c r="A1179" s="191"/>
      <c r="B1179" s="62"/>
      <c r="C1179" s="62"/>
      <c r="D1179" s="200"/>
    </row>
    <row r="1180" spans="1:4" x14ac:dyDescent="0.2">
      <c r="A1180" s="191"/>
      <c r="B1180" s="62"/>
      <c r="C1180" s="62"/>
      <c r="D1180" s="200"/>
    </row>
    <row r="1181" spans="1:4" x14ac:dyDescent="0.2">
      <c r="A1181" s="191"/>
      <c r="B1181" s="62"/>
      <c r="C1181" s="62"/>
      <c r="D1181" s="200"/>
    </row>
    <row r="1182" spans="1:4" x14ac:dyDescent="0.2">
      <c r="A1182" s="191"/>
      <c r="B1182" s="62"/>
      <c r="C1182" s="62"/>
      <c r="D1182" s="200"/>
    </row>
    <row r="1183" spans="1:4" x14ac:dyDescent="0.2">
      <c r="A1183" s="191"/>
      <c r="B1183" s="62"/>
      <c r="C1183" s="62"/>
      <c r="D1183" s="200"/>
    </row>
    <row r="1184" spans="1:4" x14ac:dyDescent="0.2">
      <c r="A1184" s="191"/>
      <c r="B1184" s="62"/>
      <c r="C1184" s="62"/>
      <c r="D1184" s="200"/>
    </row>
    <row r="1185" spans="1:4" x14ac:dyDescent="0.2">
      <c r="A1185" s="191"/>
      <c r="B1185" s="62"/>
      <c r="C1185" s="62"/>
      <c r="D1185" s="200"/>
    </row>
    <row r="1186" spans="1:4" x14ac:dyDescent="0.2">
      <c r="A1186" s="191"/>
      <c r="B1186" s="62"/>
      <c r="C1186" s="62"/>
      <c r="D1186" s="200"/>
    </row>
    <row r="1187" spans="1:4" x14ac:dyDescent="0.2">
      <c r="A1187" s="191"/>
      <c r="B1187" s="62"/>
      <c r="C1187" s="62"/>
      <c r="D1187" s="200"/>
    </row>
  </sheetData>
  <mergeCells count="5">
    <mergeCell ref="A1:D1"/>
    <mergeCell ref="A2:D2"/>
    <mergeCell ref="A3:D3"/>
    <mergeCell ref="A4:D4"/>
    <mergeCell ref="A6:D8"/>
  </mergeCells>
  <pageMargins left="1.1811023622047245" right="0.39370078740157483" top="0.59055118110236227" bottom="0.78740157480314965" header="0.51181102362204722" footer="0.51181102362204722"/>
  <pageSetup paperSize="9" scale="67" fitToHeight="38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U2069"/>
  <sheetViews>
    <sheetView zoomScale="70" zoomScaleNormal="7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5" sqref="A5"/>
    </sheetView>
  </sheetViews>
  <sheetFormatPr defaultRowHeight="20.25" outlineLevelRow="2" x14ac:dyDescent="0.3"/>
  <cols>
    <col min="1" max="1" width="63.42578125" style="192" customWidth="1"/>
    <col min="2" max="2" width="10.28515625" customWidth="1"/>
    <col min="5" max="5" width="22.85546875" customWidth="1"/>
    <col min="7" max="7" width="35.28515625" style="147" customWidth="1"/>
    <col min="8" max="8" width="21" style="141" hidden="1" customWidth="1"/>
    <col min="9" max="9" width="21" style="142" hidden="1" customWidth="1"/>
    <col min="10" max="10" width="21" style="141" hidden="1" customWidth="1"/>
    <col min="11" max="11" width="17.140625" hidden="1" customWidth="1"/>
    <col min="12" max="12" width="15.42578125" hidden="1" customWidth="1"/>
    <col min="13" max="13" width="15.28515625" hidden="1" customWidth="1"/>
    <col min="14" max="14" width="12.85546875" hidden="1" customWidth="1"/>
    <col min="15" max="17" width="9.140625" hidden="1" customWidth="1"/>
    <col min="18" max="18" width="12.42578125" hidden="1" customWidth="1"/>
    <col min="19" max="19" width="9.140625" hidden="1" customWidth="1"/>
    <col min="20" max="20" width="12.5703125" hidden="1" customWidth="1"/>
    <col min="21" max="21" width="10.7109375" hidden="1" customWidth="1"/>
    <col min="22" max="22" width="12.42578125" hidden="1" customWidth="1"/>
    <col min="23" max="23" width="18.140625" hidden="1" customWidth="1"/>
    <col min="24" max="25" width="9.140625" hidden="1" customWidth="1"/>
    <col min="26" max="26" width="16.7109375" hidden="1" customWidth="1"/>
    <col min="27" max="28" width="9.140625" hidden="1" customWidth="1"/>
    <col min="29" max="29" width="14.42578125" hidden="1" customWidth="1"/>
    <col min="30" max="30" width="9.140625" hidden="1" customWidth="1"/>
    <col min="31" max="31" width="13.28515625" hidden="1" customWidth="1"/>
    <col min="32" max="32" width="12.42578125" hidden="1" customWidth="1"/>
    <col min="33" max="33" width="16.42578125" hidden="1" customWidth="1"/>
    <col min="34" max="34" width="19.85546875" hidden="1" customWidth="1"/>
    <col min="35" max="36" width="11.7109375" hidden="1" customWidth="1"/>
    <col min="37" max="37" width="22.42578125" style="79" hidden="1" customWidth="1"/>
    <col min="38" max="39" width="9.140625" hidden="1" customWidth="1"/>
    <col min="40" max="40" width="19.7109375" style="150" hidden="1" customWidth="1"/>
    <col min="41" max="41" width="15.7109375" style="150" hidden="1" customWidth="1"/>
    <col min="42" max="42" width="17.85546875" style="151" hidden="1" customWidth="1"/>
    <col min="43" max="43" width="21.28515625" style="151" hidden="1" customWidth="1"/>
    <col min="44" max="44" width="16.28515625" style="194" hidden="1" customWidth="1"/>
    <col min="45" max="46" width="16.7109375" style="194" hidden="1" customWidth="1"/>
    <col min="47" max="47" width="14.28515625" hidden="1" customWidth="1"/>
    <col min="48" max="48" width="15.42578125" style="194" hidden="1" customWidth="1"/>
    <col min="49" max="49" width="15.85546875" style="101" hidden="1" customWidth="1"/>
    <col min="50" max="50" width="18.85546875" style="101" hidden="1" customWidth="1"/>
    <col min="51" max="52" width="20.5703125" style="226" hidden="1" customWidth="1"/>
    <col min="53" max="53" width="15.85546875" style="194" hidden="1" customWidth="1"/>
    <col min="54" max="54" width="18.85546875" style="194" hidden="1" customWidth="1"/>
    <col min="55" max="55" width="17.5703125" style="226" hidden="1" customWidth="1"/>
    <col min="56" max="56" width="17.7109375" style="226" hidden="1" customWidth="1"/>
    <col min="57" max="57" width="17.28515625" style="226" hidden="1" customWidth="1"/>
    <col min="58" max="58" width="16.85546875" hidden="1" customWidth="1"/>
    <col min="59" max="59" width="13" style="233" hidden="1" customWidth="1"/>
    <col min="60" max="60" width="14.42578125" style="233" hidden="1" customWidth="1"/>
    <col min="61" max="61" width="17" style="233" hidden="1" customWidth="1"/>
    <col min="62" max="62" width="17.42578125" style="194" hidden="1" customWidth="1"/>
    <col min="63" max="63" width="21.28515625" style="226" hidden="1" customWidth="1"/>
    <col min="64" max="64" width="17.5703125" style="194" hidden="1" customWidth="1"/>
    <col min="65" max="65" width="17" style="100" hidden="1" customWidth="1"/>
    <col min="66" max="66" width="18.42578125" style="237" hidden="1" customWidth="1"/>
    <col min="67" max="67" width="21.28515625" style="238" hidden="1" customWidth="1"/>
    <col min="68" max="68" width="14" style="239" hidden="1" customWidth="1"/>
    <col min="69" max="69" width="22.85546875" hidden="1" customWidth="1"/>
    <col min="70" max="71" width="9.140625" hidden="1" customWidth="1"/>
    <col min="72" max="73" width="22.42578125" style="151" hidden="1" customWidth="1"/>
    <col min="74" max="75" width="9.140625" hidden="1" customWidth="1"/>
    <col min="76" max="76" width="16.5703125" style="151" hidden="1" customWidth="1"/>
    <col min="77" max="77" width="18.140625" style="151" hidden="1" customWidth="1"/>
    <col min="78" max="78" width="13.140625" hidden="1" customWidth="1"/>
    <col min="79" max="79" width="22.85546875" style="226" hidden="1" customWidth="1"/>
    <col min="80" max="80" width="20.85546875" style="226" hidden="1" customWidth="1"/>
    <col min="81" max="81" width="27.28515625" style="245" hidden="1" customWidth="1"/>
    <col min="82" max="82" width="18.5703125" style="226" hidden="1" customWidth="1"/>
    <col min="83" max="83" width="20.85546875" style="194" hidden="1" customWidth="1"/>
    <col min="84" max="84" width="25.85546875" style="194" hidden="1" customWidth="1"/>
    <col min="85" max="85" width="16.28515625" style="194" hidden="1" customWidth="1"/>
    <col min="86" max="86" width="23.28515625" style="258" hidden="1" customWidth="1"/>
    <col min="87" max="87" width="20.7109375" style="194" hidden="1" customWidth="1"/>
    <col min="88" max="88" width="19" style="194" hidden="1" customWidth="1"/>
    <col min="89" max="89" width="16.28515625" style="194" hidden="1" customWidth="1"/>
    <col min="90" max="90" width="17.140625" style="194" hidden="1" customWidth="1"/>
    <col min="91" max="92" width="9.140625" hidden="1" customWidth="1"/>
    <col min="93" max="93" width="20.7109375" style="259" hidden="1" customWidth="1"/>
    <col min="94" max="94" width="23.85546875" style="259" hidden="1" customWidth="1"/>
    <col min="95" max="95" width="20" style="99" hidden="1" customWidth="1"/>
    <col min="96" max="96" width="20.5703125" style="99" hidden="1" customWidth="1"/>
    <col min="97" max="97" width="20.42578125" style="264" hidden="1" customWidth="1"/>
    <col min="98" max="98" width="26.140625" style="258" hidden="1" customWidth="1"/>
    <col min="99" max="99" width="22.42578125" style="258" hidden="1" customWidth="1"/>
    <col min="100" max="100" width="20.28515625" style="268" hidden="1" customWidth="1"/>
    <col min="101" max="101" width="19.28515625" style="268" hidden="1" customWidth="1"/>
    <col min="102" max="102" width="18.85546875" style="270" hidden="1" customWidth="1"/>
    <col min="103" max="103" width="23" style="194" hidden="1" customWidth="1"/>
    <col min="104" max="104" width="17.7109375" style="194" hidden="1" customWidth="1"/>
    <col min="105" max="105" width="23.85546875" style="270" hidden="1" customWidth="1"/>
    <col min="106" max="106" width="19.5703125" style="194" hidden="1" customWidth="1"/>
    <col min="107" max="107" width="20" style="194" hidden="1" customWidth="1"/>
    <col min="108" max="108" width="20.140625" style="194" hidden="1" customWidth="1"/>
    <col min="109" max="109" width="23.28515625" style="194" hidden="1" customWidth="1"/>
    <col min="110" max="111" width="23.7109375" style="194" hidden="1" customWidth="1"/>
    <col min="112" max="112" width="21.5703125" style="194" hidden="1" customWidth="1"/>
    <col min="113" max="113" width="25.42578125" style="270" hidden="1" customWidth="1"/>
    <col min="114" max="114" width="16.7109375" style="194" hidden="1" customWidth="1"/>
    <col min="115" max="116" width="17.7109375" style="270" hidden="1" customWidth="1"/>
    <col min="117" max="117" width="20" style="194" hidden="1" customWidth="1"/>
    <col min="118" max="118" width="22.28515625" style="274" hidden="1" customWidth="1"/>
    <col min="119" max="119" width="18.85546875" style="274" hidden="1" customWidth="1"/>
    <col min="120" max="120" width="19.5703125" style="99" hidden="1" customWidth="1"/>
    <col min="121" max="121" width="13.42578125" style="99" hidden="1" customWidth="1"/>
    <col min="122" max="122" width="17.85546875" style="99" hidden="1" customWidth="1"/>
    <col min="123" max="123" width="18.5703125" style="99" hidden="1" customWidth="1"/>
    <col min="124" max="124" width="25.42578125" style="280" hidden="1" customWidth="1"/>
    <col min="125" max="125" width="23.28515625" style="270" customWidth="1"/>
  </cols>
  <sheetData>
    <row r="1" spans="1:124" x14ac:dyDescent="0.3">
      <c r="A1" s="303" t="s">
        <v>669</v>
      </c>
      <c r="B1" s="303"/>
      <c r="C1" s="303"/>
      <c r="D1" s="303"/>
      <c r="E1" s="303"/>
      <c r="F1" s="303"/>
      <c r="G1" s="303"/>
      <c r="H1" s="118"/>
      <c r="I1" s="118"/>
      <c r="J1" s="118"/>
      <c r="BQ1" s="243">
        <f>BM1591+BN1591+BO1591+BP1591</f>
        <v>1059843.7920000001</v>
      </c>
    </row>
    <row r="2" spans="1:124" x14ac:dyDescent="0.3">
      <c r="A2" s="304" t="s">
        <v>414</v>
      </c>
      <c r="B2" s="304"/>
      <c r="C2" s="304"/>
      <c r="D2" s="304"/>
      <c r="E2" s="304"/>
      <c r="F2" s="304"/>
      <c r="G2" s="304"/>
      <c r="H2" s="119"/>
      <c r="I2" s="119"/>
      <c r="J2" s="119"/>
    </row>
    <row r="3" spans="1:124" x14ac:dyDescent="0.3">
      <c r="A3" s="304" t="s">
        <v>415</v>
      </c>
      <c r="B3" s="304"/>
      <c r="C3" s="304"/>
      <c r="D3" s="304"/>
      <c r="E3" s="304"/>
      <c r="F3" s="304"/>
      <c r="G3" s="304"/>
      <c r="H3" s="119"/>
      <c r="I3" s="119"/>
      <c r="J3" s="119"/>
    </row>
    <row r="4" spans="1:124" x14ac:dyDescent="0.3">
      <c r="A4" s="307" t="s">
        <v>1199</v>
      </c>
      <c r="B4" s="306"/>
      <c r="C4" s="306"/>
      <c r="D4" s="306"/>
      <c r="E4" s="306"/>
      <c r="F4" s="306"/>
      <c r="G4" s="306"/>
      <c r="H4" s="120"/>
      <c r="I4" s="120"/>
      <c r="J4" s="120"/>
    </row>
    <row r="5" spans="1:124" ht="29.25" customHeight="1" x14ac:dyDescent="0.3">
      <c r="H5" s="121"/>
      <c r="I5" s="121"/>
      <c r="J5" s="121"/>
    </row>
    <row r="6" spans="1:124" x14ac:dyDescent="0.3">
      <c r="A6" s="305" t="s">
        <v>107</v>
      </c>
      <c r="B6" s="305"/>
      <c r="C6" s="305"/>
      <c r="D6" s="305"/>
      <c r="E6" s="305"/>
      <c r="F6" s="305"/>
      <c r="G6" s="305"/>
      <c r="H6" s="122"/>
      <c r="I6" s="122"/>
      <c r="J6" s="122"/>
    </row>
    <row r="7" spans="1:124" ht="24" customHeight="1" x14ac:dyDescent="0.3">
      <c r="A7" s="203"/>
      <c r="B7" s="96"/>
      <c r="C7" s="96"/>
      <c r="D7" s="96"/>
      <c r="E7" s="96"/>
      <c r="F7" s="96"/>
      <c r="H7" s="121"/>
      <c r="I7" s="121"/>
      <c r="J7" s="121"/>
      <c r="AS7" s="202" t="s">
        <v>747</v>
      </c>
      <c r="CO7" s="259" t="s">
        <v>537</v>
      </c>
      <c r="CP7" s="259" t="s">
        <v>642</v>
      </c>
    </row>
    <row r="8" spans="1:124" ht="93.75" x14ac:dyDescent="0.3">
      <c r="A8" s="204" t="s">
        <v>46</v>
      </c>
      <c r="B8" s="8" t="s">
        <v>108</v>
      </c>
      <c r="C8" s="6" t="s">
        <v>770</v>
      </c>
      <c r="D8" s="6" t="s">
        <v>771</v>
      </c>
      <c r="E8" s="6" t="s">
        <v>47</v>
      </c>
      <c r="F8" s="6" t="s">
        <v>111</v>
      </c>
      <c r="G8" s="7" t="s">
        <v>1192</v>
      </c>
      <c r="H8" s="123" t="s">
        <v>642</v>
      </c>
      <c r="I8" s="124" t="s">
        <v>679</v>
      </c>
      <c r="J8" s="123" t="s">
        <v>680</v>
      </c>
      <c r="K8" s="98" t="s">
        <v>537</v>
      </c>
      <c r="L8" s="98" t="s">
        <v>538</v>
      </c>
      <c r="M8" s="98" t="s">
        <v>539</v>
      </c>
      <c r="N8" s="98" t="s">
        <v>539</v>
      </c>
      <c r="O8" s="98" t="s">
        <v>537</v>
      </c>
      <c r="T8" s="108" t="s">
        <v>607</v>
      </c>
      <c r="U8" t="s">
        <v>608</v>
      </c>
      <c r="W8" t="s">
        <v>630</v>
      </c>
      <c r="X8" t="s">
        <v>537</v>
      </c>
      <c r="Y8" t="s">
        <v>642</v>
      </c>
      <c r="Z8" t="s">
        <v>538</v>
      </c>
      <c r="AE8" t="s">
        <v>653</v>
      </c>
      <c r="AF8" t="s">
        <v>538</v>
      </c>
      <c r="AG8" s="114" t="s">
        <v>667</v>
      </c>
      <c r="AH8" s="114" t="s">
        <v>668</v>
      </c>
      <c r="AI8" s="114" t="s">
        <v>663</v>
      </c>
      <c r="AJ8" s="114"/>
      <c r="AN8" s="150" t="s">
        <v>642</v>
      </c>
      <c r="AO8" s="150" t="s">
        <v>679</v>
      </c>
      <c r="AP8" s="151" t="s">
        <v>537</v>
      </c>
      <c r="AQ8" s="151" t="s">
        <v>642</v>
      </c>
      <c r="AR8" s="194" t="s">
        <v>538</v>
      </c>
      <c r="AS8" s="151" t="s">
        <v>642</v>
      </c>
      <c r="AT8" s="151" t="s">
        <v>679</v>
      </c>
      <c r="AW8" s="101" t="s">
        <v>757</v>
      </c>
      <c r="AX8" s="101" t="s">
        <v>642</v>
      </c>
      <c r="AY8" s="231" t="s">
        <v>768</v>
      </c>
      <c r="AZ8" s="227" t="s">
        <v>761</v>
      </c>
      <c r="BA8" s="230" t="s">
        <v>767</v>
      </c>
      <c r="BB8" s="230"/>
      <c r="BC8" s="227" t="s">
        <v>537</v>
      </c>
      <c r="BD8" s="227" t="s">
        <v>784</v>
      </c>
      <c r="BE8" s="227" t="s">
        <v>538</v>
      </c>
      <c r="BG8" s="234" t="s">
        <v>537</v>
      </c>
      <c r="BH8" s="234" t="s">
        <v>642</v>
      </c>
      <c r="BI8" s="234" t="s">
        <v>538</v>
      </c>
      <c r="BK8" s="226" t="s">
        <v>795</v>
      </c>
      <c r="BL8" s="236" t="s">
        <v>799</v>
      </c>
      <c r="BM8" s="100" t="s">
        <v>800</v>
      </c>
      <c r="BN8" s="241" t="s">
        <v>802</v>
      </c>
      <c r="BO8" s="238" t="s">
        <v>537</v>
      </c>
      <c r="BP8" s="239" t="s">
        <v>680</v>
      </c>
      <c r="BT8" s="151" t="s">
        <v>537</v>
      </c>
      <c r="BU8" s="151" t="s">
        <v>642</v>
      </c>
      <c r="BX8" s="151" t="s">
        <v>642</v>
      </c>
      <c r="BY8" s="151" t="s">
        <v>537</v>
      </c>
      <c r="CA8" s="227" t="s">
        <v>537</v>
      </c>
      <c r="CB8" s="227" t="s">
        <v>642</v>
      </c>
      <c r="CC8" s="245" t="s">
        <v>895</v>
      </c>
      <c r="CE8" s="151" t="s">
        <v>908</v>
      </c>
      <c r="CF8" s="151" t="s">
        <v>909</v>
      </c>
      <c r="CI8" s="227" t="s">
        <v>537</v>
      </c>
      <c r="CJ8" s="227" t="s">
        <v>642</v>
      </c>
      <c r="CQ8" s="260" t="s">
        <v>936</v>
      </c>
      <c r="CR8" s="261" t="s">
        <v>937</v>
      </c>
      <c r="CS8" s="265" t="s">
        <v>950</v>
      </c>
      <c r="CT8" s="267" t="s">
        <v>908</v>
      </c>
      <c r="CU8" s="267" t="s">
        <v>959</v>
      </c>
      <c r="CV8" s="268" t="s">
        <v>642</v>
      </c>
      <c r="CW8" s="268" t="s">
        <v>537</v>
      </c>
      <c r="DB8" s="151" t="s">
        <v>537</v>
      </c>
      <c r="DC8" s="194" t="s">
        <v>642</v>
      </c>
      <c r="DD8" s="194" t="s">
        <v>538</v>
      </c>
      <c r="DE8" s="194" t="s">
        <v>1127</v>
      </c>
      <c r="DF8" s="194" t="s">
        <v>642</v>
      </c>
      <c r="DG8" s="194" t="s">
        <v>537</v>
      </c>
      <c r="DI8" s="270" t="s">
        <v>1142</v>
      </c>
      <c r="DM8" s="151" t="s">
        <v>1148</v>
      </c>
      <c r="DN8" s="275" t="s">
        <v>537</v>
      </c>
      <c r="DO8" s="274" t="s">
        <v>1185</v>
      </c>
      <c r="DP8" s="99" t="s">
        <v>1153</v>
      </c>
      <c r="DQ8" s="279" t="s">
        <v>1154</v>
      </c>
      <c r="DR8" s="261" t="s">
        <v>1155</v>
      </c>
      <c r="DS8" s="99" t="s">
        <v>1156</v>
      </c>
      <c r="DT8" s="280" t="s">
        <v>1157</v>
      </c>
    </row>
    <row r="9" spans="1:124" x14ac:dyDescent="0.3">
      <c r="A9" s="205" t="s">
        <v>48</v>
      </c>
      <c r="B9" s="9" t="s">
        <v>50</v>
      </c>
      <c r="C9" s="9" t="s">
        <v>112</v>
      </c>
      <c r="D9" s="9" t="s">
        <v>112</v>
      </c>
      <c r="E9" s="9" t="s">
        <v>49</v>
      </c>
      <c r="F9" s="9" t="s">
        <v>50</v>
      </c>
      <c r="G9" s="282">
        <f>G10+G19+G385+G434+G494+G1582</f>
        <v>1557483.52</v>
      </c>
      <c r="H9" s="116"/>
      <c r="I9" s="117"/>
      <c r="J9" s="116"/>
      <c r="K9" s="80"/>
      <c r="L9" s="79"/>
      <c r="M9" s="79"/>
      <c r="DT9" s="99">
        <f>DN9+DO9+DP9+DQ9+DR9+DS9</f>
        <v>0</v>
      </c>
    </row>
    <row r="10" spans="1:124" ht="37.5" hidden="1" x14ac:dyDescent="0.3">
      <c r="A10" s="206" t="s">
        <v>347</v>
      </c>
      <c r="B10" s="18" t="s">
        <v>113</v>
      </c>
      <c r="C10" s="11" t="s">
        <v>112</v>
      </c>
      <c r="D10" s="11" t="s">
        <v>112</v>
      </c>
      <c r="E10" s="11" t="s">
        <v>49</v>
      </c>
      <c r="F10" s="11" t="s">
        <v>50</v>
      </c>
      <c r="G10" s="71">
        <f>G11</f>
        <v>0</v>
      </c>
      <c r="H10" s="116"/>
      <c r="I10" s="117"/>
      <c r="J10" s="116"/>
      <c r="K10" s="80"/>
      <c r="L10" s="79"/>
      <c r="M10" s="79"/>
      <c r="DT10" s="99">
        <f t="shared" ref="DT10:DT73" si="0">DN10+DO10+DP10+DQ10+DR10+DS10</f>
        <v>0</v>
      </c>
    </row>
    <row r="11" spans="1:124" hidden="1" x14ac:dyDescent="0.3">
      <c r="A11" s="205" t="s">
        <v>114</v>
      </c>
      <c r="B11" s="12">
        <v>903</v>
      </c>
      <c r="C11" s="9" t="s">
        <v>115</v>
      </c>
      <c r="D11" s="9" t="s">
        <v>112</v>
      </c>
      <c r="E11" s="9" t="s">
        <v>49</v>
      </c>
      <c r="F11" s="9" t="s">
        <v>50</v>
      </c>
      <c r="G11" s="68">
        <f>G12</f>
        <v>0</v>
      </c>
      <c r="H11" s="116"/>
      <c r="I11" s="117"/>
      <c r="J11" s="116"/>
      <c r="K11" s="80"/>
      <c r="L11" s="79"/>
      <c r="M11" s="79"/>
      <c r="DT11" s="99">
        <f t="shared" si="0"/>
        <v>0</v>
      </c>
    </row>
    <row r="12" spans="1:124" ht="56.25" hidden="1" x14ac:dyDescent="0.3">
      <c r="A12" s="155" t="s">
        <v>118</v>
      </c>
      <c r="B12" s="12">
        <v>903</v>
      </c>
      <c r="C12" s="9" t="s">
        <v>115</v>
      </c>
      <c r="D12" s="9" t="s">
        <v>119</v>
      </c>
      <c r="E12" s="9" t="s">
        <v>49</v>
      </c>
      <c r="F12" s="19" t="s">
        <v>50</v>
      </c>
      <c r="G12" s="68">
        <f>G13</f>
        <v>0</v>
      </c>
      <c r="H12" s="116"/>
      <c r="I12" s="117"/>
      <c r="J12" s="116"/>
      <c r="K12" s="80"/>
      <c r="L12" s="79"/>
      <c r="M12" s="79"/>
      <c r="AG12" s="79"/>
      <c r="AH12" s="79"/>
      <c r="DT12" s="99">
        <f t="shared" si="0"/>
        <v>0</v>
      </c>
    </row>
    <row r="13" spans="1:124" ht="57" hidden="1" customHeight="1" x14ac:dyDescent="0.3">
      <c r="A13" s="156" t="s">
        <v>413</v>
      </c>
      <c r="B13" s="13">
        <v>903</v>
      </c>
      <c r="C13" s="14" t="s">
        <v>115</v>
      </c>
      <c r="D13" s="14" t="s">
        <v>119</v>
      </c>
      <c r="E13" s="36" t="s">
        <v>397</v>
      </c>
      <c r="F13" s="14" t="s">
        <v>50</v>
      </c>
      <c r="G13" s="57">
        <f>G14</f>
        <v>0</v>
      </c>
      <c r="H13" s="116"/>
      <c r="I13" s="117"/>
      <c r="J13" s="116"/>
      <c r="K13" s="80"/>
      <c r="L13" s="79"/>
      <c r="M13" s="79"/>
      <c r="AG13" s="79"/>
      <c r="AH13" s="79"/>
      <c r="DT13" s="99">
        <f t="shared" si="0"/>
        <v>0</v>
      </c>
    </row>
    <row r="14" spans="1:124" ht="57" hidden="1" customHeight="1" x14ac:dyDescent="0.3">
      <c r="A14" s="143" t="s">
        <v>103</v>
      </c>
      <c r="B14" s="13">
        <v>903</v>
      </c>
      <c r="C14" s="14" t="s">
        <v>115</v>
      </c>
      <c r="D14" s="14" t="s">
        <v>119</v>
      </c>
      <c r="E14" s="36" t="s">
        <v>503</v>
      </c>
      <c r="F14" s="14" t="s">
        <v>50</v>
      </c>
      <c r="G14" s="57">
        <f>G15+G17</f>
        <v>0</v>
      </c>
      <c r="H14" s="116"/>
      <c r="I14" s="117"/>
      <c r="J14" s="116"/>
      <c r="K14" s="80"/>
      <c r="L14" s="79"/>
      <c r="M14" s="79"/>
      <c r="AG14" s="79"/>
      <c r="AH14" s="79"/>
      <c r="DT14" s="99">
        <f t="shared" si="0"/>
        <v>0</v>
      </c>
    </row>
    <row r="15" spans="1:124" ht="37.5" hidden="1" x14ac:dyDescent="0.3">
      <c r="A15" s="143" t="s">
        <v>105</v>
      </c>
      <c r="B15" s="13">
        <v>903</v>
      </c>
      <c r="C15" s="14" t="s">
        <v>115</v>
      </c>
      <c r="D15" s="14" t="s">
        <v>119</v>
      </c>
      <c r="E15" s="15" t="s">
        <v>398</v>
      </c>
      <c r="F15" s="15" t="s">
        <v>50</v>
      </c>
      <c r="G15" s="57">
        <f>G16</f>
        <v>0</v>
      </c>
      <c r="H15" s="116"/>
      <c r="I15" s="117"/>
      <c r="J15" s="116"/>
      <c r="K15" s="80"/>
      <c r="L15" s="79"/>
      <c r="M15" s="79"/>
      <c r="AG15" s="79"/>
      <c r="AH15" s="79"/>
      <c r="DT15" s="99">
        <f t="shared" si="0"/>
        <v>0</v>
      </c>
    </row>
    <row r="16" spans="1:124" ht="94.5" hidden="1" customHeight="1" x14ac:dyDescent="0.3">
      <c r="A16" s="143" t="s">
        <v>56</v>
      </c>
      <c r="B16" s="13">
        <v>903</v>
      </c>
      <c r="C16" s="14" t="s">
        <v>115</v>
      </c>
      <c r="D16" s="14" t="s">
        <v>119</v>
      </c>
      <c r="E16" s="15" t="s">
        <v>398</v>
      </c>
      <c r="F16" s="15" t="s">
        <v>57</v>
      </c>
      <c r="G16" s="57">
        <v>0</v>
      </c>
      <c r="H16" s="116"/>
      <c r="I16" s="117"/>
      <c r="J16" s="116"/>
      <c r="K16" s="80"/>
      <c r="L16" s="79"/>
      <c r="M16" s="79"/>
      <c r="AG16" s="79"/>
      <c r="AH16" s="79"/>
      <c r="DT16" s="99">
        <f t="shared" si="0"/>
        <v>0</v>
      </c>
    </row>
    <row r="17" spans="1:124" ht="47.25" hidden="1" customHeight="1" x14ac:dyDescent="0.3">
      <c r="A17" s="162" t="s">
        <v>374</v>
      </c>
      <c r="B17" s="13">
        <v>903</v>
      </c>
      <c r="C17" s="14" t="s">
        <v>115</v>
      </c>
      <c r="D17" s="14" t="s">
        <v>119</v>
      </c>
      <c r="E17" s="15" t="s">
        <v>517</v>
      </c>
      <c r="F17" s="15" t="s">
        <v>50</v>
      </c>
      <c r="G17" s="57">
        <f>G18</f>
        <v>0</v>
      </c>
      <c r="H17" s="116"/>
      <c r="I17" s="117"/>
      <c r="J17" s="116"/>
      <c r="K17" s="80"/>
      <c r="L17" s="79"/>
      <c r="M17" s="79"/>
      <c r="AG17" s="79"/>
      <c r="AH17" s="79"/>
      <c r="DT17" s="99">
        <f t="shared" si="0"/>
        <v>0</v>
      </c>
    </row>
    <row r="18" spans="1:124" ht="94.5" hidden="1" customHeight="1" x14ac:dyDescent="0.3">
      <c r="A18" s="143" t="s">
        <v>56</v>
      </c>
      <c r="B18" s="13">
        <v>903</v>
      </c>
      <c r="C18" s="14" t="s">
        <v>115</v>
      </c>
      <c r="D18" s="14" t="s">
        <v>119</v>
      </c>
      <c r="E18" s="15" t="s">
        <v>517</v>
      </c>
      <c r="F18" s="15" t="s">
        <v>57</v>
      </c>
      <c r="G18" s="57">
        <v>0</v>
      </c>
      <c r="H18" s="116"/>
      <c r="I18" s="117"/>
      <c r="J18" s="116"/>
      <c r="K18" s="80"/>
      <c r="L18" s="79"/>
      <c r="M18" s="79"/>
      <c r="AG18" s="79">
        <v>85</v>
      </c>
      <c r="AH18" s="79"/>
      <c r="DT18" s="99">
        <f t="shared" si="0"/>
        <v>0</v>
      </c>
    </row>
    <row r="19" spans="1:124" ht="56.25" x14ac:dyDescent="0.3">
      <c r="A19" s="206" t="s">
        <v>691</v>
      </c>
      <c r="B19" s="10">
        <v>905</v>
      </c>
      <c r="C19" s="18" t="s">
        <v>112</v>
      </c>
      <c r="D19" s="18" t="s">
        <v>112</v>
      </c>
      <c r="E19" s="18" t="s">
        <v>49</v>
      </c>
      <c r="F19" s="18" t="s">
        <v>50</v>
      </c>
      <c r="G19" s="71">
        <f>G20+G38+G314+G327+G378</f>
        <v>839973.3</v>
      </c>
      <c r="H19" s="116"/>
      <c r="I19" s="117"/>
      <c r="J19" s="116"/>
      <c r="K19" s="80"/>
      <c r="L19" s="79"/>
      <c r="M19" s="79"/>
      <c r="AG19" s="79"/>
      <c r="AH19" s="79"/>
      <c r="DT19" s="99">
        <f t="shared" si="0"/>
        <v>0</v>
      </c>
    </row>
    <row r="20" spans="1:124" x14ac:dyDescent="0.3">
      <c r="A20" s="205" t="s">
        <v>114</v>
      </c>
      <c r="B20" s="12">
        <v>905</v>
      </c>
      <c r="C20" s="9" t="s">
        <v>115</v>
      </c>
      <c r="D20" s="9" t="s">
        <v>112</v>
      </c>
      <c r="E20" s="9" t="s">
        <v>49</v>
      </c>
      <c r="F20" s="9" t="s">
        <v>50</v>
      </c>
      <c r="G20" s="68">
        <f>G21</f>
        <v>3757.1</v>
      </c>
      <c r="H20" s="116"/>
      <c r="I20" s="117"/>
      <c r="J20" s="116"/>
      <c r="K20" s="80"/>
      <c r="L20" s="79"/>
      <c r="M20" s="79"/>
      <c r="AG20" s="79"/>
      <c r="AH20" s="79"/>
      <c r="DT20" s="99">
        <f t="shared" si="0"/>
        <v>0</v>
      </c>
    </row>
    <row r="21" spans="1:124" ht="75" x14ac:dyDescent="0.3">
      <c r="A21" s="205" t="s">
        <v>120</v>
      </c>
      <c r="B21" s="12">
        <v>905</v>
      </c>
      <c r="C21" s="9" t="s">
        <v>115</v>
      </c>
      <c r="D21" s="9" t="s">
        <v>121</v>
      </c>
      <c r="E21" s="9" t="s">
        <v>49</v>
      </c>
      <c r="F21" s="9" t="s">
        <v>50</v>
      </c>
      <c r="G21" s="68">
        <f>G28+G22</f>
        <v>3757.1</v>
      </c>
      <c r="H21" s="116"/>
      <c r="I21" s="117"/>
      <c r="J21" s="116"/>
      <c r="K21" s="80"/>
      <c r="L21" s="79"/>
      <c r="M21" s="79"/>
      <c r="AG21" s="79"/>
      <c r="AH21" s="79"/>
      <c r="DT21" s="99">
        <f t="shared" si="0"/>
        <v>0</v>
      </c>
    </row>
    <row r="22" spans="1:124" ht="40.5" hidden="1" customHeight="1" x14ac:dyDescent="0.3">
      <c r="A22" s="207" t="s">
        <v>38</v>
      </c>
      <c r="B22" s="49">
        <v>905</v>
      </c>
      <c r="C22" s="44" t="s">
        <v>115</v>
      </c>
      <c r="D22" s="44" t="s">
        <v>121</v>
      </c>
      <c r="E22" s="75" t="s">
        <v>400</v>
      </c>
      <c r="F22" s="75" t="s">
        <v>50</v>
      </c>
      <c r="G22" s="57">
        <f>G23</f>
        <v>0</v>
      </c>
      <c r="H22" s="116"/>
      <c r="I22" s="117"/>
      <c r="J22" s="116"/>
      <c r="K22" s="80"/>
      <c r="L22" s="79"/>
      <c r="M22" s="79"/>
      <c r="AG22" s="79"/>
      <c r="AH22" s="79"/>
      <c r="DT22" s="99">
        <f t="shared" si="0"/>
        <v>0</v>
      </c>
    </row>
    <row r="23" spans="1:124" ht="56.25" hidden="1" x14ac:dyDescent="0.3">
      <c r="A23" s="143" t="s">
        <v>138</v>
      </c>
      <c r="B23" s="49">
        <v>905</v>
      </c>
      <c r="C23" s="44" t="s">
        <v>115</v>
      </c>
      <c r="D23" s="44" t="s">
        <v>121</v>
      </c>
      <c r="E23" s="44" t="s">
        <v>51</v>
      </c>
      <c r="F23" s="44" t="s">
        <v>50</v>
      </c>
      <c r="G23" s="57">
        <f>G24</f>
        <v>0</v>
      </c>
      <c r="H23" s="116"/>
      <c r="I23" s="117"/>
      <c r="J23" s="116"/>
      <c r="K23" s="80"/>
      <c r="L23" s="79"/>
      <c r="M23" s="79"/>
      <c r="AG23" s="79"/>
      <c r="AH23" s="79"/>
      <c r="DT23" s="99">
        <f t="shared" si="0"/>
        <v>0</v>
      </c>
    </row>
    <row r="24" spans="1:124" hidden="1" x14ac:dyDescent="0.3">
      <c r="A24" s="163" t="s">
        <v>62</v>
      </c>
      <c r="B24" s="49">
        <v>905</v>
      </c>
      <c r="C24" s="44" t="s">
        <v>115</v>
      </c>
      <c r="D24" s="44" t="s">
        <v>121</v>
      </c>
      <c r="E24" s="44" t="s">
        <v>63</v>
      </c>
      <c r="F24" s="44" t="s">
        <v>50</v>
      </c>
      <c r="G24" s="57">
        <f>G25</f>
        <v>0</v>
      </c>
      <c r="H24" s="116"/>
      <c r="I24" s="117"/>
      <c r="J24" s="116"/>
      <c r="K24" s="80"/>
      <c r="L24" s="79"/>
      <c r="M24" s="79"/>
      <c r="AG24" s="79"/>
      <c r="AH24" s="79"/>
      <c r="DT24" s="99">
        <f t="shared" si="0"/>
        <v>0</v>
      </c>
    </row>
    <row r="25" spans="1:124" hidden="1" x14ac:dyDescent="0.3">
      <c r="A25" s="163" t="s">
        <v>399</v>
      </c>
      <c r="B25" s="49">
        <v>905</v>
      </c>
      <c r="C25" s="44" t="s">
        <v>115</v>
      </c>
      <c r="D25" s="44" t="s">
        <v>121</v>
      </c>
      <c r="E25" s="44" t="s">
        <v>408</v>
      </c>
      <c r="F25" s="44" t="s">
        <v>50</v>
      </c>
      <c r="G25" s="57">
        <f>G26</f>
        <v>0</v>
      </c>
      <c r="H25" s="116"/>
      <c r="I25" s="117"/>
      <c r="J25" s="116"/>
      <c r="K25" s="80"/>
      <c r="L25" s="79"/>
      <c r="M25" s="79"/>
      <c r="AG25" s="79"/>
      <c r="AH25" s="79"/>
      <c r="DT25" s="99">
        <f t="shared" si="0"/>
        <v>0</v>
      </c>
    </row>
    <row r="26" spans="1:124" ht="37.5" hidden="1" x14ac:dyDescent="0.3">
      <c r="A26" s="143" t="s">
        <v>425</v>
      </c>
      <c r="B26" s="49">
        <v>905</v>
      </c>
      <c r="C26" s="44" t="s">
        <v>115</v>
      </c>
      <c r="D26" s="44" t="s">
        <v>121</v>
      </c>
      <c r="E26" s="44" t="s">
        <v>408</v>
      </c>
      <c r="F26" s="44" t="s">
        <v>59</v>
      </c>
      <c r="G26" s="57">
        <f>H26+AW26</f>
        <v>0</v>
      </c>
      <c r="H26" s="116">
        <v>57</v>
      </c>
      <c r="I26" s="117"/>
      <c r="J26" s="116"/>
      <c r="K26" s="80"/>
      <c r="L26" s="79">
        <v>65</v>
      </c>
      <c r="M26" s="79"/>
      <c r="AG26" s="79"/>
      <c r="AH26" s="79"/>
      <c r="AK26" s="79">
        <v>52</v>
      </c>
      <c r="AW26" s="101">
        <v>-57</v>
      </c>
      <c r="DT26" s="99">
        <f t="shared" si="0"/>
        <v>0</v>
      </c>
    </row>
    <row r="27" spans="1:124" hidden="1" x14ac:dyDescent="0.3">
      <c r="A27" s="143"/>
      <c r="B27" s="49"/>
      <c r="C27" s="44"/>
      <c r="D27" s="44"/>
      <c r="E27" s="44" t="s">
        <v>542</v>
      </c>
      <c r="F27" s="44" t="s">
        <v>59</v>
      </c>
      <c r="G27" s="57"/>
      <c r="H27" s="116"/>
      <c r="I27" s="117"/>
      <c r="J27" s="116"/>
      <c r="K27" s="80"/>
      <c r="L27" s="79"/>
      <c r="M27" s="79"/>
      <c r="AG27" s="79"/>
      <c r="AH27" s="79"/>
      <c r="DT27" s="99">
        <f t="shared" si="0"/>
        <v>0</v>
      </c>
    </row>
    <row r="28" spans="1:124" ht="56.25" x14ac:dyDescent="0.3">
      <c r="A28" s="208" t="s">
        <v>16</v>
      </c>
      <c r="B28" s="13">
        <v>905</v>
      </c>
      <c r="C28" s="14" t="s">
        <v>115</v>
      </c>
      <c r="D28" s="14" t="s">
        <v>121</v>
      </c>
      <c r="E28" s="15" t="s">
        <v>32</v>
      </c>
      <c r="F28" s="15" t="s">
        <v>50</v>
      </c>
      <c r="G28" s="57">
        <f>G29+G36</f>
        <v>3757.1</v>
      </c>
      <c r="H28" s="116"/>
      <c r="I28" s="117"/>
      <c r="J28" s="116"/>
      <c r="K28" s="80"/>
      <c r="L28" s="79"/>
      <c r="M28" s="79"/>
      <c r="AG28" s="79"/>
      <c r="AH28" s="79"/>
      <c r="DT28" s="99">
        <f t="shared" si="0"/>
        <v>0</v>
      </c>
    </row>
    <row r="29" spans="1:124" ht="42.75" customHeight="1" x14ac:dyDescent="0.3">
      <c r="A29" s="162" t="s">
        <v>18</v>
      </c>
      <c r="B29" s="13">
        <v>905</v>
      </c>
      <c r="C29" s="14" t="s">
        <v>115</v>
      </c>
      <c r="D29" s="14" t="s">
        <v>121</v>
      </c>
      <c r="E29" s="15" t="s">
        <v>34</v>
      </c>
      <c r="F29" s="15" t="s">
        <v>50</v>
      </c>
      <c r="G29" s="57">
        <f>G30</f>
        <v>3757.1</v>
      </c>
      <c r="H29" s="116"/>
      <c r="I29" s="117"/>
      <c r="J29" s="116"/>
      <c r="K29" s="80"/>
      <c r="L29" s="79"/>
      <c r="M29" s="79"/>
      <c r="AG29" s="79"/>
      <c r="AH29" s="79"/>
      <c r="DT29" s="99">
        <f t="shared" si="0"/>
        <v>0</v>
      </c>
    </row>
    <row r="30" spans="1:124" ht="78" customHeight="1" x14ac:dyDescent="0.3">
      <c r="A30" s="143" t="s">
        <v>103</v>
      </c>
      <c r="B30" s="13">
        <v>905</v>
      </c>
      <c r="C30" s="14" t="s">
        <v>115</v>
      </c>
      <c r="D30" s="14" t="s">
        <v>121</v>
      </c>
      <c r="E30" s="15" t="s">
        <v>36</v>
      </c>
      <c r="F30" s="15" t="s">
        <v>50</v>
      </c>
      <c r="G30" s="57">
        <f>G31+G34</f>
        <v>3757.1</v>
      </c>
      <c r="H30" s="116"/>
      <c r="I30" s="117"/>
      <c r="J30" s="116"/>
      <c r="K30" s="80"/>
      <c r="L30" s="79"/>
      <c r="M30" s="79"/>
      <c r="AG30" s="79"/>
      <c r="AH30" s="79"/>
      <c r="DT30" s="99">
        <f t="shared" si="0"/>
        <v>0</v>
      </c>
    </row>
    <row r="31" spans="1:124" x14ac:dyDescent="0.3">
      <c r="A31" s="143" t="s">
        <v>104</v>
      </c>
      <c r="B31" s="13">
        <v>905</v>
      </c>
      <c r="C31" s="14" t="s">
        <v>115</v>
      </c>
      <c r="D31" s="14" t="s">
        <v>121</v>
      </c>
      <c r="E31" s="14" t="s">
        <v>37</v>
      </c>
      <c r="F31" s="14" t="s">
        <v>50</v>
      </c>
      <c r="G31" s="57">
        <f>G32+G33</f>
        <v>3757.1</v>
      </c>
      <c r="H31" s="116"/>
      <c r="I31" s="117"/>
      <c r="J31" s="116"/>
      <c r="K31" s="80"/>
      <c r="L31" s="79"/>
      <c r="M31" s="79"/>
      <c r="AG31" s="79"/>
      <c r="AH31" s="79"/>
      <c r="DT31" s="99">
        <f t="shared" si="0"/>
        <v>0</v>
      </c>
    </row>
    <row r="32" spans="1:124" ht="93.75" x14ac:dyDescent="0.3">
      <c r="A32" s="143" t="s">
        <v>56</v>
      </c>
      <c r="B32" s="13">
        <v>905</v>
      </c>
      <c r="C32" s="14" t="s">
        <v>115</v>
      </c>
      <c r="D32" s="14" t="s">
        <v>121</v>
      </c>
      <c r="E32" s="15" t="s">
        <v>37</v>
      </c>
      <c r="F32" s="15" t="s">
        <v>57</v>
      </c>
      <c r="G32" s="72">
        <f>DT32</f>
        <v>3479.9</v>
      </c>
      <c r="H32" s="116">
        <v>2293.6999999999998</v>
      </c>
      <c r="I32" s="117"/>
      <c r="J32" s="116"/>
      <c r="K32" s="80"/>
      <c r="L32" s="79"/>
      <c r="M32" s="79"/>
      <c r="AG32" s="79"/>
      <c r="AH32" s="79"/>
      <c r="AK32" s="79">
        <v>2059.8000000000002</v>
      </c>
      <c r="AX32" s="101">
        <v>-0.93393000000000004</v>
      </c>
      <c r="BK32" s="226">
        <v>-75</v>
      </c>
      <c r="BM32" s="100">
        <v>2648.7</v>
      </c>
      <c r="BU32" s="151">
        <v>8.0588999999999995</v>
      </c>
      <c r="BX32" s="151">
        <v>5.5</v>
      </c>
      <c r="CD32" s="226">
        <v>1</v>
      </c>
      <c r="CP32" s="259">
        <v>-140.6</v>
      </c>
      <c r="CS32" s="264">
        <v>2648.7</v>
      </c>
      <c r="CU32" s="258">
        <v>28</v>
      </c>
      <c r="DM32" s="194">
        <v>140</v>
      </c>
      <c r="DO32" s="274">
        <v>3479.9</v>
      </c>
      <c r="DT32" s="99">
        <f t="shared" si="0"/>
        <v>3479.9</v>
      </c>
    </row>
    <row r="33" spans="1:124" ht="37.5" x14ac:dyDescent="0.3">
      <c r="A33" s="143" t="s">
        <v>425</v>
      </c>
      <c r="B33" s="13">
        <v>905</v>
      </c>
      <c r="C33" s="14" t="s">
        <v>115</v>
      </c>
      <c r="D33" s="14" t="s">
        <v>121</v>
      </c>
      <c r="E33" s="15" t="s">
        <v>37</v>
      </c>
      <c r="F33" s="15" t="s">
        <v>59</v>
      </c>
      <c r="G33" s="72">
        <f>DT33</f>
        <v>277.2</v>
      </c>
      <c r="H33" s="116">
        <v>112.3</v>
      </c>
      <c r="I33" s="117"/>
      <c r="J33" s="116"/>
      <c r="K33" s="80"/>
      <c r="L33" s="79">
        <v>-65</v>
      </c>
      <c r="M33" s="79"/>
      <c r="AE33">
        <f>3+6.7</f>
        <v>9.6999999999999993</v>
      </c>
      <c r="AG33" s="79"/>
      <c r="AH33" s="79"/>
      <c r="AK33" s="79">
        <v>124.3</v>
      </c>
      <c r="AW33" s="101">
        <v>57</v>
      </c>
      <c r="AX33" s="101">
        <v>7.0920800000000002</v>
      </c>
      <c r="AZ33" s="226">
        <v>10.5</v>
      </c>
      <c r="BJ33" s="194">
        <v>1.9</v>
      </c>
      <c r="BM33" s="100">
        <v>119.8</v>
      </c>
      <c r="BN33" s="237">
        <v>57</v>
      </c>
      <c r="CS33" s="264">
        <v>252</v>
      </c>
      <c r="CU33" s="258">
        <v>12</v>
      </c>
      <c r="DR33" s="99">
        <v>277.2</v>
      </c>
      <c r="DT33" s="99">
        <f t="shared" si="0"/>
        <v>277.2</v>
      </c>
    </row>
    <row r="34" spans="1:124" ht="37.5" hidden="1" x14ac:dyDescent="0.3">
      <c r="A34" s="162" t="s">
        <v>374</v>
      </c>
      <c r="B34" s="13">
        <v>905</v>
      </c>
      <c r="C34" s="14" t="s">
        <v>115</v>
      </c>
      <c r="D34" s="14" t="s">
        <v>121</v>
      </c>
      <c r="E34" s="15" t="s">
        <v>510</v>
      </c>
      <c r="F34" s="15" t="s">
        <v>50</v>
      </c>
      <c r="G34" s="72">
        <f>G35</f>
        <v>0</v>
      </c>
      <c r="H34" s="116"/>
      <c r="I34" s="117"/>
      <c r="J34" s="116"/>
      <c r="K34" s="80"/>
      <c r="L34" s="79"/>
      <c r="M34" s="79"/>
      <c r="AG34" s="79"/>
      <c r="AH34" s="79"/>
      <c r="DT34" s="99">
        <f t="shared" si="0"/>
        <v>0</v>
      </c>
    </row>
    <row r="35" spans="1:124" ht="93.75" hidden="1" x14ac:dyDescent="0.3">
      <c r="A35" s="143" t="s">
        <v>56</v>
      </c>
      <c r="B35" s="13">
        <v>905</v>
      </c>
      <c r="C35" s="14" t="s">
        <v>115</v>
      </c>
      <c r="D35" s="14" t="s">
        <v>121</v>
      </c>
      <c r="E35" s="15" t="s">
        <v>510</v>
      </c>
      <c r="F35" s="15" t="s">
        <v>57</v>
      </c>
      <c r="G35" s="72">
        <v>0</v>
      </c>
      <c r="H35" s="116"/>
      <c r="I35" s="117"/>
      <c r="J35" s="116"/>
      <c r="K35" s="80"/>
      <c r="L35" s="79"/>
      <c r="M35" s="79"/>
      <c r="AG35" s="79">
        <v>117.4</v>
      </c>
      <c r="AH35" s="79"/>
      <c r="AK35" s="79">
        <v>0</v>
      </c>
      <c r="DI35" s="270">
        <v>31.8</v>
      </c>
      <c r="DT35" s="99">
        <f t="shared" si="0"/>
        <v>0</v>
      </c>
    </row>
    <row r="36" spans="1:124" ht="56.25" hidden="1" x14ac:dyDescent="0.3">
      <c r="A36" s="143" t="s">
        <v>928</v>
      </c>
      <c r="B36" s="13">
        <v>905</v>
      </c>
      <c r="C36" s="14" t="s">
        <v>115</v>
      </c>
      <c r="D36" s="14" t="s">
        <v>121</v>
      </c>
      <c r="E36" s="14" t="s">
        <v>929</v>
      </c>
      <c r="F36" s="20" t="s">
        <v>50</v>
      </c>
      <c r="G36" s="72">
        <f>G37</f>
        <v>0</v>
      </c>
      <c r="H36" s="116"/>
      <c r="I36" s="117"/>
      <c r="J36" s="116"/>
      <c r="K36" s="80"/>
      <c r="L36" s="79"/>
      <c r="M36" s="79"/>
      <c r="AG36" s="79"/>
      <c r="AH36" s="79"/>
      <c r="DT36" s="99">
        <f t="shared" si="0"/>
        <v>0</v>
      </c>
    </row>
    <row r="37" spans="1:124" ht="93.75" hidden="1" x14ac:dyDescent="0.3">
      <c r="A37" s="143" t="s">
        <v>56</v>
      </c>
      <c r="B37" s="13">
        <v>905</v>
      </c>
      <c r="C37" s="14" t="s">
        <v>115</v>
      </c>
      <c r="D37" s="14" t="s">
        <v>121</v>
      </c>
      <c r="E37" s="14" t="s">
        <v>929</v>
      </c>
      <c r="F37" s="14" t="s">
        <v>57</v>
      </c>
      <c r="G37" s="72">
        <v>0</v>
      </c>
      <c r="H37" s="116"/>
      <c r="I37" s="117"/>
      <c r="J37" s="116"/>
      <c r="K37" s="80"/>
      <c r="L37" s="79"/>
      <c r="M37" s="79"/>
      <c r="AG37" s="79"/>
      <c r="AH37" s="79"/>
      <c r="DK37" s="270">
        <v>27.341999999999999</v>
      </c>
      <c r="DT37" s="99">
        <f t="shared" si="0"/>
        <v>0</v>
      </c>
    </row>
    <row r="38" spans="1:124" x14ac:dyDescent="0.3">
      <c r="A38" s="155" t="s">
        <v>122</v>
      </c>
      <c r="B38" s="12">
        <v>905</v>
      </c>
      <c r="C38" s="9" t="s">
        <v>123</v>
      </c>
      <c r="D38" s="9" t="s">
        <v>112</v>
      </c>
      <c r="E38" s="12" t="s">
        <v>49</v>
      </c>
      <c r="F38" s="9" t="s">
        <v>50</v>
      </c>
      <c r="G38" s="68">
        <f>G39+G83+G179+G228+G286</f>
        <v>798722.70000000007</v>
      </c>
      <c r="H38" s="116"/>
      <c r="I38" s="117"/>
      <c r="J38" s="116"/>
      <c r="K38" s="80"/>
      <c r="L38" s="79"/>
      <c r="M38" s="79"/>
      <c r="AG38" s="79"/>
      <c r="AH38" s="79"/>
      <c r="DT38" s="99">
        <f t="shared" si="0"/>
        <v>0</v>
      </c>
    </row>
    <row r="39" spans="1:124" x14ac:dyDescent="0.3">
      <c r="A39" s="155" t="s">
        <v>124</v>
      </c>
      <c r="B39" s="12">
        <v>905</v>
      </c>
      <c r="C39" s="9" t="s">
        <v>123</v>
      </c>
      <c r="D39" s="19" t="s">
        <v>115</v>
      </c>
      <c r="E39" s="12" t="s">
        <v>49</v>
      </c>
      <c r="F39" s="9" t="s">
        <v>50</v>
      </c>
      <c r="G39" s="68">
        <f>G40</f>
        <v>373469.6</v>
      </c>
      <c r="H39" s="116"/>
      <c r="I39" s="117"/>
      <c r="J39" s="116"/>
      <c r="K39" s="80"/>
      <c r="L39" s="79"/>
      <c r="M39" s="79"/>
      <c r="AG39" s="79"/>
      <c r="AH39" s="79"/>
      <c r="DT39" s="99">
        <f t="shared" si="0"/>
        <v>0</v>
      </c>
    </row>
    <row r="40" spans="1:124" ht="44.25" customHeight="1" x14ac:dyDescent="0.3">
      <c r="A40" s="143" t="s">
        <v>38</v>
      </c>
      <c r="B40" s="13">
        <v>905</v>
      </c>
      <c r="C40" s="14" t="s">
        <v>123</v>
      </c>
      <c r="D40" s="6" t="s">
        <v>115</v>
      </c>
      <c r="E40" s="15" t="s">
        <v>25</v>
      </c>
      <c r="F40" s="15" t="s">
        <v>50</v>
      </c>
      <c r="G40" s="57">
        <f>G41+G76+G79+G74</f>
        <v>373469.6</v>
      </c>
      <c r="H40" s="116"/>
      <c r="I40" s="117"/>
      <c r="J40" s="116"/>
      <c r="K40" s="80"/>
      <c r="L40" s="79"/>
      <c r="M40" s="79"/>
      <c r="AG40" s="79"/>
      <c r="AH40" s="79"/>
      <c r="DT40" s="99">
        <f t="shared" si="0"/>
        <v>0</v>
      </c>
    </row>
    <row r="41" spans="1:124" ht="54.75" customHeight="1" x14ac:dyDescent="0.3">
      <c r="A41" s="143" t="s">
        <v>138</v>
      </c>
      <c r="B41" s="13">
        <v>905</v>
      </c>
      <c r="C41" s="14" t="s">
        <v>123</v>
      </c>
      <c r="D41" s="6" t="s">
        <v>115</v>
      </c>
      <c r="E41" s="15" t="s">
        <v>51</v>
      </c>
      <c r="F41" s="15" t="s">
        <v>50</v>
      </c>
      <c r="G41" s="57">
        <f>G42+G53+G68+G61+G66+G63</f>
        <v>373469.6</v>
      </c>
      <c r="H41" s="116"/>
      <c r="I41" s="117"/>
      <c r="J41" s="116"/>
      <c r="K41" s="80"/>
      <c r="L41" s="79"/>
      <c r="M41" s="79"/>
      <c r="AG41" s="79"/>
      <c r="AH41" s="79"/>
      <c r="DT41" s="99">
        <f t="shared" si="0"/>
        <v>0</v>
      </c>
    </row>
    <row r="42" spans="1:124" ht="37.5" x14ac:dyDescent="0.3">
      <c r="A42" s="143" t="s">
        <v>52</v>
      </c>
      <c r="B42" s="13">
        <v>905</v>
      </c>
      <c r="C42" s="14" t="s">
        <v>123</v>
      </c>
      <c r="D42" s="6" t="s">
        <v>115</v>
      </c>
      <c r="E42" s="15" t="s">
        <v>53</v>
      </c>
      <c r="F42" s="15" t="s">
        <v>50</v>
      </c>
      <c r="G42" s="57">
        <f>G43+G48+G51</f>
        <v>189524.1</v>
      </c>
      <c r="H42" s="116"/>
      <c r="I42" s="117"/>
      <c r="J42" s="116"/>
      <c r="K42" s="80"/>
      <c r="L42" s="79"/>
      <c r="M42" s="79"/>
      <c r="AG42" s="79"/>
      <c r="AH42" s="79"/>
      <c r="DT42" s="99">
        <f t="shared" si="0"/>
        <v>0</v>
      </c>
    </row>
    <row r="43" spans="1:124" x14ac:dyDescent="0.3">
      <c r="A43" s="143" t="s">
        <v>54</v>
      </c>
      <c r="B43" s="13">
        <v>905</v>
      </c>
      <c r="C43" s="14" t="s">
        <v>123</v>
      </c>
      <c r="D43" s="6" t="s">
        <v>115</v>
      </c>
      <c r="E43" s="15" t="s">
        <v>55</v>
      </c>
      <c r="F43" s="15" t="s">
        <v>50</v>
      </c>
      <c r="G43" s="57">
        <f>G44+G45+G47+G46</f>
        <v>139936.20000000001</v>
      </c>
      <c r="H43" s="116"/>
      <c r="I43" s="117"/>
      <c r="J43" s="116"/>
      <c r="K43" s="80"/>
      <c r="L43" s="79"/>
      <c r="M43" s="79"/>
      <c r="AG43" s="79"/>
      <c r="AH43" s="79"/>
      <c r="DT43" s="99">
        <f t="shared" si="0"/>
        <v>0</v>
      </c>
    </row>
    <row r="44" spans="1:124" ht="93.75" x14ac:dyDescent="0.3">
      <c r="A44" s="143" t="s">
        <v>56</v>
      </c>
      <c r="B44" s="13">
        <v>905</v>
      </c>
      <c r="C44" s="14" t="s">
        <v>123</v>
      </c>
      <c r="D44" s="6" t="s">
        <v>115</v>
      </c>
      <c r="E44" s="15" t="s">
        <v>55</v>
      </c>
      <c r="F44" s="15" t="s">
        <v>57</v>
      </c>
      <c r="G44" s="57">
        <f>DT44</f>
        <v>90411</v>
      </c>
      <c r="H44" s="116">
        <f>35266.1+0.1</f>
        <v>35266.199999999997</v>
      </c>
      <c r="I44" s="117"/>
      <c r="J44" s="116"/>
      <c r="K44" s="80"/>
      <c r="L44" s="79"/>
      <c r="M44" s="79"/>
      <c r="T44">
        <v>2.4</v>
      </c>
      <c r="U44">
        <v>6.3</v>
      </c>
      <c r="W44">
        <v>3.6</v>
      </c>
      <c r="Y44">
        <v>2.4</v>
      </c>
      <c r="AC44">
        <v>12.1</v>
      </c>
      <c r="AG44" s="79"/>
      <c r="AH44" s="79">
        <f>-7619.7-159.1</f>
        <v>-7778.8</v>
      </c>
      <c r="AK44" s="79">
        <v>37323.199999999997</v>
      </c>
      <c r="AN44" s="150">
        <f>70+0.1</f>
        <v>70.099999999999994</v>
      </c>
      <c r="AQ44" s="151">
        <v>-141.19999999999999</v>
      </c>
      <c r="BK44" s="226">
        <v>-115.1</v>
      </c>
      <c r="BL44" s="194">
        <v>10.118</v>
      </c>
      <c r="BM44" s="100">
        <f>41233-648.4</f>
        <v>40584.6</v>
      </c>
      <c r="BX44" s="151">
        <f>50-60.4</f>
        <v>-10.399999999999999</v>
      </c>
      <c r="CJ44" s="194">
        <f>6.6-45.2</f>
        <v>-38.6</v>
      </c>
      <c r="CL44" s="194">
        <v>16.265000000000001</v>
      </c>
      <c r="CP44" s="259">
        <v>15</v>
      </c>
      <c r="CS44" s="264">
        <v>23097.5</v>
      </c>
      <c r="CU44" s="258">
        <v>50</v>
      </c>
      <c r="CX44" s="270">
        <f>28.4-2</f>
        <v>26.4</v>
      </c>
      <c r="CZ44" s="194">
        <v>16000</v>
      </c>
      <c r="DF44" s="194">
        <v>30</v>
      </c>
      <c r="DK44" s="270">
        <v>-2.49735</v>
      </c>
      <c r="DL44" s="270">
        <v>30</v>
      </c>
      <c r="DM44" s="194">
        <v>-140</v>
      </c>
      <c r="DO44" s="274">
        <f>138447.6-42000+3963.4-10000</f>
        <v>90411</v>
      </c>
      <c r="DT44" s="99">
        <f t="shared" si="0"/>
        <v>90411</v>
      </c>
    </row>
    <row r="45" spans="1:124" ht="37.5" x14ac:dyDescent="0.3">
      <c r="A45" s="143" t="s">
        <v>425</v>
      </c>
      <c r="B45" s="13">
        <v>905</v>
      </c>
      <c r="C45" s="14" t="s">
        <v>123</v>
      </c>
      <c r="D45" s="6" t="s">
        <v>115</v>
      </c>
      <c r="E45" s="15" t="s">
        <v>55</v>
      </c>
      <c r="F45" s="15" t="s">
        <v>59</v>
      </c>
      <c r="G45" s="57">
        <f>DT45</f>
        <v>49525.200000000004</v>
      </c>
      <c r="H45" s="116">
        <f>10364.6-90+37474+10+1414.2+325</f>
        <v>49497.799999999996</v>
      </c>
      <c r="I45" s="117"/>
      <c r="J45" s="116"/>
      <c r="K45" s="80"/>
      <c r="L45" s="79"/>
      <c r="M45" s="79">
        <f>-211+204.85682</f>
        <v>-6.143180000000001</v>
      </c>
      <c r="N45">
        <v>34.299999999999997</v>
      </c>
      <c r="T45">
        <f>-6.9+81.5+120+2+3.04136+8.1+8.5+15+24.5+79.4+4.1</f>
        <v>339.24135999999999</v>
      </c>
      <c r="U45">
        <v>48.2</v>
      </c>
      <c r="W45">
        <v>173.37719999999999</v>
      </c>
      <c r="Y45">
        <v>115.7</v>
      </c>
      <c r="Z45" s="109">
        <v>227.83975000000001</v>
      </c>
      <c r="AC45">
        <f>247+406</f>
        <v>653</v>
      </c>
      <c r="AE45">
        <v>45.889870000000002</v>
      </c>
      <c r="AG45" s="79"/>
      <c r="AH45" s="79">
        <f>111+1205</f>
        <v>1316</v>
      </c>
      <c r="AI45">
        <v>-4.3760000000000003</v>
      </c>
      <c r="AK45" s="79">
        <f>31796.3+973.6</f>
        <v>32769.9</v>
      </c>
      <c r="AN45" s="150">
        <v>-70</v>
      </c>
      <c r="AQ45" s="151">
        <v>-2.4199999999999999E-2</v>
      </c>
      <c r="AR45" s="194">
        <v>-4.0000000000000001E-3</v>
      </c>
      <c r="AS45" s="194">
        <f>-8384.804+0.018</f>
        <v>-8384.7860000000001</v>
      </c>
      <c r="AV45" s="194">
        <f>-1351.18143-0.018</f>
        <v>-1351.1994300000001</v>
      </c>
      <c r="AW45" s="101">
        <v>-0.2</v>
      </c>
      <c r="AX45" s="101">
        <v>-7</v>
      </c>
      <c r="AY45" s="226">
        <v>-1</v>
      </c>
      <c r="BE45" s="226">
        <v>-0.2</v>
      </c>
      <c r="BH45" s="233">
        <v>-161</v>
      </c>
      <c r="BJ45" s="194">
        <v>-1.9</v>
      </c>
      <c r="BK45" s="226">
        <f>-149+36+200</f>
        <v>87</v>
      </c>
      <c r="BL45" s="194">
        <f>-1800-1430.5-10.118</f>
        <v>-3240.6179999999999</v>
      </c>
      <c r="BM45" s="100">
        <f>36158.4+317.1+1155.6-0.04</f>
        <v>37631.06</v>
      </c>
      <c r="BQ45" t="s">
        <v>803</v>
      </c>
      <c r="BU45" s="151">
        <v>-469.12189999999998</v>
      </c>
      <c r="BX45" s="151">
        <v>2550</v>
      </c>
      <c r="CB45" s="226">
        <f>328-121.506+114</f>
        <v>320.49400000000003</v>
      </c>
      <c r="CD45" s="226">
        <v>122.3</v>
      </c>
      <c r="CF45" s="194">
        <v>20.89733</v>
      </c>
      <c r="CG45" s="194">
        <f>615+250+100+50+130+181+87</f>
        <v>1413</v>
      </c>
      <c r="CH45" s="258">
        <f>100+40+209.8</f>
        <v>349.8</v>
      </c>
      <c r="CJ45" s="194">
        <f>274.8+127.04</f>
        <v>401.84000000000003</v>
      </c>
      <c r="CL45" s="194">
        <v>139</v>
      </c>
      <c r="CP45" s="259">
        <v>542.97421999999995</v>
      </c>
      <c r="CR45" s="99">
        <v>1800</v>
      </c>
      <c r="CS45" s="264">
        <f>253.2+1201.25+38792.7+411.7</f>
        <v>40658.849999999991</v>
      </c>
      <c r="CU45" s="258">
        <f>799.8+234.6-1100</f>
        <v>-65.600000000000136</v>
      </c>
      <c r="CV45" s="268">
        <v>300</v>
      </c>
      <c r="CX45" s="270">
        <v>203</v>
      </c>
      <c r="CY45" s="194">
        <f>100+700+116.4+330</f>
        <v>1246.4000000000001</v>
      </c>
      <c r="CZ45" s="194">
        <f>200+36+100+20+30</f>
        <v>386</v>
      </c>
      <c r="DB45" s="194">
        <v>-4.2</v>
      </c>
      <c r="DC45" s="194">
        <f>156.5+25+705</f>
        <v>886.5</v>
      </c>
      <c r="DD45" s="194">
        <v>292.25</v>
      </c>
      <c r="DF45" s="272">
        <f>500+1405+156.5-13.3-524.81844</f>
        <v>1523.3815599999998</v>
      </c>
      <c r="DN45" s="274">
        <v>2374.9</v>
      </c>
      <c r="DP45" s="99">
        <f>34081.1+6247.5-437+2004.5+1771.5</f>
        <v>43667.6</v>
      </c>
      <c r="DQ45" s="99">
        <v>451.4</v>
      </c>
      <c r="DR45" s="99">
        <f>1321.3</f>
        <v>1321.3</v>
      </c>
      <c r="DS45" s="99">
        <f>1000+1000+1000-100-1190</f>
        <v>1710</v>
      </c>
      <c r="DT45" s="99">
        <f t="shared" si="0"/>
        <v>49525.200000000004</v>
      </c>
    </row>
    <row r="46" spans="1:124" ht="37.5" hidden="1" x14ac:dyDescent="0.3">
      <c r="A46" s="143" t="s">
        <v>175</v>
      </c>
      <c r="B46" s="13">
        <v>905</v>
      </c>
      <c r="C46" s="14" t="s">
        <v>123</v>
      </c>
      <c r="D46" s="6" t="s">
        <v>115</v>
      </c>
      <c r="E46" s="15" t="s">
        <v>55</v>
      </c>
      <c r="F46" s="15" t="s">
        <v>176</v>
      </c>
      <c r="G46" s="57">
        <v>0</v>
      </c>
      <c r="H46" s="116"/>
      <c r="I46" s="117"/>
      <c r="J46" s="116"/>
      <c r="K46" s="80"/>
      <c r="L46" s="79"/>
      <c r="M46" s="79"/>
      <c r="Z46" s="109"/>
      <c r="AG46" s="79"/>
      <c r="AH46" s="79"/>
      <c r="AX46" s="101">
        <v>0.93393000000000004</v>
      </c>
      <c r="DK46" s="270">
        <v>2.49735</v>
      </c>
      <c r="DT46" s="99">
        <f t="shared" si="0"/>
        <v>0</v>
      </c>
    </row>
    <row r="47" spans="1:124" hidden="1" x14ac:dyDescent="0.3">
      <c r="A47" s="143" t="s">
        <v>60</v>
      </c>
      <c r="B47" s="13">
        <v>905</v>
      </c>
      <c r="C47" s="14" t="s">
        <v>123</v>
      </c>
      <c r="D47" s="6" t="s">
        <v>115</v>
      </c>
      <c r="E47" s="15" t="s">
        <v>55</v>
      </c>
      <c r="F47" s="15" t="s">
        <v>61</v>
      </c>
      <c r="G47" s="57">
        <v>0</v>
      </c>
      <c r="H47" s="116"/>
      <c r="I47" s="117"/>
      <c r="J47" s="116"/>
      <c r="K47" s="80"/>
      <c r="L47" s="79"/>
      <c r="M47" s="79"/>
      <c r="T47">
        <v>-14</v>
      </c>
      <c r="Z47">
        <v>-228</v>
      </c>
      <c r="AC47">
        <f>247.129+0.309+1.053+107.14319</f>
        <v>355.63418999999999</v>
      </c>
      <c r="AF47">
        <v>-253.07300000000001</v>
      </c>
      <c r="AG47" s="79"/>
      <c r="AH47" s="79">
        <v>10</v>
      </c>
      <c r="AI47">
        <v>2.2559999999999998</v>
      </c>
      <c r="AK47" s="79">
        <v>0</v>
      </c>
      <c r="AS47" s="194">
        <v>0.3</v>
      </c>
      <c r="AY47" s="226">
        <v>1</v>
      </c>
      <c r="BM47" s="100">
        <v>429.4</v>
      </c>
      <c r="BX47" s="151">
        <v>-50.956899999999997</v>
      </c>
      <c r="CG47" s="194">
        <v>3.5</v>
      </c>
      <c r="CL47" s="194">
        <f>-16.265-3.125</f>
        <v>-19.39</v>
      </c>
      <c r="CP47" s="259">
        <v>-26.626000000000001</v>
      </c>
      <c r="DT47" s="99">
        <f t="shared" si="0"/>
        <v>0</v>
      </c>
    </row>
    <row r="48" spans="1:124" ht="37.5" x14ac:dyDescent="0.3">
      <c r="A48" s="162" t="s">
        <v>374</v>
      </c>
      <c r="B48" s="13">
        <v>905</v>
      </c>
      <c r="C48" s="14" t="s">
        <v>123</v>
      </c>
      <c r="D48" s="6" t="s">
        <v>115</v>
      </c>
      <c r="E48" s="14" t="s">
        <v>372</v>
      </c>
      <c r="F48" s="14" t="s">
        <v>50</v>
      </c>
      <c r="G48" s="57">
        <f>G50+G49</f>
        <v>49587.9</v>
      </c>
      <c r="H48" s="116"/>
      <c r="I48" s="117"/>
      <c r="J48" s="116"/>
      <c r="K48" s="80"/>
      <c r="L48" s="79"/>
      <c r="M48" s="79"/>
      <c r="AG48" s="79"/>
      <c r="AH48" s="79"/>
      <c r="DT48" s="99">
        <f t="shared" si="0"/>
        <v>0</v>
      </c>
    </row>
    <row r="49" spans="1:124" ht="93.75" x14ac:dyDescent="0.3">
      <c r="A49" s="143" t="s">
        <v>56</v>
      </c>
      <c r="B49" s="13">
        <v>905</v>
      </c>
      <c r="C49" s="14" t="s">
        <v>123</v>
      </c>
      <c r="D49" s="6" t="s">
        <v>115</v>
      </c>
      <c r="E49" s="14" t="s">
        <v>372</v>
      </c>
      <c r="F49" s="14" t="s">
        <v>57</v>
      </c>
      <c r="G49" s="57">
        <f>DT49</f>
        <v>48036.6</v>
      </c>
      <c r="H49" s="116">
        <v>53758</v>
      </c>
      <c r="I49" s="117"/>
      <c r="J49" s="116"/>
      <c r="K49" s="80"/>
      <c r="L49" s="79"/>
      <c r="M49" s="79"/>
      <c r="AG49" s="79">
        <v>9285.4</v>
      </c>
      <c r="AH49" s="79"/>
      <c r="AK49" s="79">
        <v>43288.1</v>
      </c>
      <c r="AN49" s="150">
        <v>-0.1</v>
      </c>
      <c r="AP49" s="151">
        <v>5635.3</v>
      </c>
      <c r="BK49" s="226">
        <v>5801.2</v>
      </c>
      <c r="BM49" s="100">
        <v>59952.6</v>
      </c>
      <c r="CO49" s="259">
        <v>16244.9</v>
      </c>
      <c r="CS49" s="264">
        <v>94857.4</v>
      </c>
      <c r="CY49" s="194">
        <f>-8000-8000</f>
        <v>-16000</v>
      </c>
      <c r="DI49" s="270">
        <v>9825.9</v>
      </c>
      <c r="DO49" s="274">
        <f>42000-3963.4+10000</f>
        <v>48036.6</v>
      </c>
      <c r="DT49" s="99">
        <f t="shared" si="0"/>
        <v>48036.6</v>
      </c>
    </row>
    <row r="50" spans="1:124" x14ac:dyDescent="0.3">
      <c r="A50" s="143" t="s">
        <v>60</v>
      </c>
      <c r="B50" s="13">
        <v>905</v>
      </c>
      <c r="C50" s="14" t="s">
        <v>123</v>
      </c>
      <c r="D50" s="6" t="s">
        <v>115</v>
      </c>
      <c r="E50" s="14" t="s">
        <v>372</v>
      </c>
      <c r="F50" s="14" t="s">
        <v>61</v>
      </c>
      <c r="G50" s="57">
        <f>DT50</f>
        <v>1551.3</v>
      </c>
      <c r="H50" s="125">
        <v>2466.6999999999998</v>
      </c>
      <c r="I50" s="126"/>
      <c r="J50" s="125"/>
      <c r="K50" s="80"/>
      <c r="L50" s="79"/>
      <c r="M50" s="79"/>
      <c r="AF50">
        <v>253.07300000000001</v>
      </c>
      <c r="AG50" s="79"/>
      <c r="AH50" s="79"/>
      <c r="AK50" s="79">
        <v>2545.4</v>
      </c>
      <c r="BM50" s="100">
        <v>1959.2</v>
      </c>
      <c r="CP50" s="259">
        <v>26.626000000000001</v>
      </c>
      <c r="CS50" s="264">
        <v>2384.4</v>
      </c>
      <c r="DI50" s="270">
        <f>-17.582-49.886-23.581</f>
        <v>-91.049000000000007</v>
      </c>
      <c r="DQ50" s="99">
        <v>1551.3</v>
      </c>
      <c r="DT50" s="99">
        <f t="shared" si="0"/>
        <v>1551.3</v>
      </c>
    </row>
    <row r="51" spans="1:124" ht="41.25" hidden="1" customHeight="1" x14ac:dyDescent="0.3">
      <c r="A51" s="162" t="s">
        <v>378</v>
      </c>
      <c r="B51" s="13">
        <v>905</v>
      </c>
      <c r="C51" s="14" t="s">
        <v>123</v>
      </c>
      <c r="D51" s="6" t="s">
        <v>115</v>
      </c>
      <c r="E51" s="14" t="s">
        <v>379</v>
      </c>
      <c r="F51" s="14" t="s">
        <v>50</v>
      </c>
      <c r="G51" s="57">
        <f>G52</f>
        <v>0</v>
      </c>
      <c r="H51" s="116"/>
      <c r="I51" s="117"/>
      <c r="J51" s="116"/>
      <c r="K51" s="80"/>
      <c r="L51" s="79"/>
      <c r="M51" s="79"/>
      <c r="AG51" s="79"/>
      <c r="AH51" s="79"/>
      <c r="DT51" s="99">
        <f t="shared" si="0"/>
        <v>0</v>
      </c>
    </row>
    <row r="52" spans="1:124" ht="96" hidden="1" customHeight="1" x14ac:dyDescent="0.3">
      <c r="A52" s="143" t="s">
        <v>56</v>
      </c>
      <c r="B52" s="13">
        <v>905</v>
      </c>
      <c r="C52" s="14" t="s">
        <v>123</v>
      </c>
      <c r="D52" s="6" t="s">
        <v>115</v>
      </c>
      <c r="E52" s="14" t="s">
        <v>379</v>
      </c>
      <c r="F52" s="14" t="s">
        <v>57</v>
      </c>
      <c r="G52" s="57">
        <v>0</v>
      </c>
      <c r="H52" s="116">
        <v>587</v>
      </c>
      <c r="I52" s="117"/>
      <c r="J52" s="116"/>
      <c r="K52" s="80"/>
      <c r="L52" s="79"/>
      <c r="M52" s="79"/>
      <c r="AG52" s="79"/>
      <c r="AH52" s="79">
        <v>159.1</v>
      </c>
      <c r="AK52" s="79">
        <v>483.8</v>
      </c>
      <c r="AQ52" s="151">
        <v>141.19999999999999</v>
      </c>
      <c r="BK52" s="226">
        <v>115.1</v>
      </c>
      <c r="BM52" s="100">
        <v>648.4</v>
      </c>
      <c r="BX52" s="151">
        <v>60.4</v>
      </c>
      <c r="CJ52" s="194">
        <v>45.2</v>
      </c>
      <c r="CS52" s="264">
        <v>990.1</v>
      </c>
      <c r="DT52" s="99">
        <f t="shared" si="0"/>
        <v>0</v>
      </c>
    </row>
    <row r="53" spans="1:124" x14ac:dyDescent="0.3">
      <c r="A53" s="143" t="s">
        <v>62</v>
      </c>
      <c r="B53" s="13">
        <v>905</v>
      </c>
      <c r="C53" s="14" t="s">
        <v>123</v>
      </c>
      <c r="D53" s="6" t="s">
        <v>115</v>
      </c>
      <c r="E53" s="14" t="s">
        <v>63</v>
      </c>
      <c r="F53" s="14" t="s">
        <v>50</v>
      </c>
      <c r="G53" s="57">
        <f>G54+G58+G56</f>
        <v>42652.6</v>
      </c>
      <c r="H53" s="116"/>
      <c r="I53" s="117"/>
      <c r="J53" s="116"/>
      <c r="K53" s="80"/>
      <c r="L53" s="79"/>
      <c r="M53" s="79"/>
      <c r="AG53" s="79"/>
      <c r="AH53" s="79"/>
      <c r="DT53" s="99">
        <f t="shared" si="0"/>
        <v>0</v>
      </c>
    </row>
    <row r="54" spans="1:124" ht="37.5" hidden="1" x14ac:dyDescent="0.3">
      <c r="A54" s="143" t="s">
        <v>81</v>
      </c>
      <c r="B54" s="13">
        <v>905</v>
      </c>
      <c r="C54" s="14" t="s">
        <v>123</v>
      </c>
      <c r="D54" s="6" t="s">
        <v>115</v>
      </c>
      <c r="E54" s="14" t="s">
        <v>149</v>
      </c>
      <c r="F54" s="14" t="s">
        <v>50</v>
      </c>
      <c r="G54" s="57">
        <f>G55</f>
        <v>0</v>
      </c>
      <c r="H54" s="116"/>
      <c r="I54" s="117"/>
      <c r="J54" s="116"/>
      <c r="K54" s="80"/>
      <c r="L54" s="79"/>
      <c r="M54" s="79"/>
      <c r="AG54" s="79"/>
      <c r="AH54" s="79"/>
      <c r="DT54" s="99">
        <f t="shared" si="0"/>
        <v>0</v>
      </c>
    </row>
    <row r="55" spans="1:124" ht="37.5" hidden="1" x14ac:dyDescent="0.3">
      <c r="A55" s="143" t="s">
        <v>425</v>
      </c>
      <c r="B55" s="13">
        <v>905</v>
      </c>
      <c r="C55" s="14" t="s">
        <v>123</v>
      </c>
      <c r="D55" s="6" t="s">
        <v>115</v>
      </c>
      <c r="E55" s="14" t="s">
        <v>149</v>
      </c>
      <c r="F55" s="14" t="s">
        <v>59</v>
      </c>
      <c r="G55" s="72">
        <v>0</v>
      </c>
      <c r="H55" s="116"/>
      <c r="I55" s="117"/>
      <c r="J55" s="116"/>
      <c r="K55" s="80"/>
      <c r="L55" s="79"/>
      <c r="M55" s="79"/>
      <c r="AG55" s="79"/>
      <c r="AH55" s="79"/>
      <c r="DT55" s="99">
        <f t="shared" si="0"/>
        <v>0</v>
      </c>
    </row>
    <row r="56" spans="1:124" ht="37.5" hidden="1" x14ac:dyDescent="0.3">
      <c r="A56" s="163" t="s">
        <v>64</v>
      </c>
      <c r="B56" s="13">
        <v>905</v>
      </c>
      <c r="C56" s="14" t="s">
        <v>123</v>
      </c>
      <c r="D56" s="6" t="s">
        <v>115</v>
      </c>
      <c r="E56" s="14" t="s">
        <v>65</v>
      </c>
      <c r="F56" s="15" t="s">
        <v>50</v>
      </c>
      <c r="G56" s="72">
        <f>G57</f>
        <v>0</v>
      </c>
      <c r="H56" s="116"/>
      <c r="I56" s="117"/>
      <c r="J56" s="116"/>
      <c r="K56" s="80"/>
      <c r="L56" s="79"/>
      <c r="M56" s="79"/>
      <c r="AG56" s="79"/>
      <c r="AH56" s="79"/>
      <c r="DT56" s="99">
        <f t="shared" si="0"/>
        <v>0</v>
      </c>
    </row>
    <row r="57" spans="1:124" ht="37.5" hidden="1" x14ac:dyDescent="0.3">
      <c r="A57" s="143" t="s">
        <v>425</v>
      </c>
      <c r="B57" s="13">
        <v>905</v>
      </c>
      <c r="C57" s="14" t="s">
        <v>123</v>
      </c>
      <c r="D57" s="6" t="s">
        <v>115</v>
      </c>
      <c r="E57" s="14" t="s">
        <v>65</v>
      </c>
      <c r="F57" s="15" t="s">
        <v>59</v>
      </c>
      <c r="G57" s="72">
        <v>0</v>
      </c>
      <c r="H57" s="116"/>
      <c r="I57" s="117"/>
      <c r="J57" s="116"/>
      <c r="K57" s="80"/>
      <c r="L57" s="79"/>
      <c r="M57" s="79"/>
      <c r="N57">
        <v>13</v>
      </c>
      <c r="AG57" s="79"/>
      <c r="AH57" s="79"/>
      <c r="AK57" s="79">
        <v>0</v>
      </c>
      <c r="DT57" s="99">
        <f t="shared" si="0"/>
        <v>0</v>
      </c>
    </row>
    <row r="58" spans="1:124" x14ac:dyDescent="0.3">
      <c r="A58" s="143" t="s">
        <v>66</v>
      </c>
      <c r="B58" s="13">
        <v>905</v>
      </c>
      <c r="C58" s="14" t="s">
        <v>123</v>
      </c>
      <c r="D58" s="6" t="s">
        <v>115</v>
      </c>
      <c r="E58" s="14" t="s">
        <v>67</v>
      </c>
      <c r="F58" s="14" t="s">
        <v>50</v>
      </c>
      <c r="G58" s="57">
        <f>G60</f>
        <v>42652.6</v>
      </c>
      <c r="H58" s="116"/>
      <c r="I58" s="117"/>
      <c r="J58" s="116"/>
      <c r="K58" s="80"/>
      <c r="L58" s="79"/>
      <c r="M58" s="79"/>
      <c r="AG58" s="79"/>
      <c r="AH58" s="79"/>
      <c r="DT58" s="99">
        <f t="shared" si="0"/>
        <v>0</v>
      </c>
    </row>
    <row r="59" spans="1:124" ht="93.75" hidden="1" x14ac:dyDescent="0.3">
      <c r="A59" s="143" t="s">
        <v>56</v>
      </c>
      <c r="B59" s="13">
        <v>905</v>
      </c>
      <c r="C59" s="14" t="s">
        <v>123</v>
      </c>
      <c r="D59" s="6" t="s">
        <v>115</v>
      </c>
      <c r="E59" s="14" t="s">
        <v>67</v>
      </c>
      <c r="F59" s="14" t="s">
        <v>57</v>
      </c>
      <c r="G59" s="57">
        <v>0</v>
      </c>
      <c r="H59" s="116"/>
      <c r="I59" s="117"/>
      <c r="J59" s="116"/>
      <c r="K59" s="80"/>
      <c r="L59" s="79"/>
      <c r="M59" s="79"/>
      <c r="AG59" s="79"/>
      <c r="AH59" s="79"/>
      <c r="DT59" s="99">
        <f t="shared" si="0"/>
        <v>0</v>
      </c>
    </row>
    <row r="60" spans="1:124" ht="49.5" customHeight="1" x14ac:dyDescent="0.3">
      <c r="A60" s="143" t="s">
        <v>425</v>
      </c>
      <c r="B60" s="13">
        <v>905</v>
      </c>
      <c r="C60" s="14" t="s">
        <v>123</v>
      </c>
      <c r="D60" s="6" t="s">
        <v>115</v>
      </c>
      <c r="E60" s="14" t="s">
        <v>67</v>
      </c>
      <c r="F60" s="14" t="s">
        <v>59</v>
      </c>
      <c r="G60" s="57">
        <f>DT60</f>
        <v>42652.6</v>
      </c>
      <c r="H60" s="116">
        <v>33661.4</v>
      </c>
      <c r="I60" s="117"/>
      <c r="J60" s="116"/>
      <c r="K60" s="80"/>
      <c r="L60" s="79"/>
      <c r="M60" s="101">
        <v>39.812179999999998</v>
      </c>
      <c r="AG60" s="79"/>
      <c r="AH60" s="79">
        <v>-5500</v>
      </c>
      <c r="AK60" s="79">
        <v>40564.199999999997</v>
      </c>
      <c r="AZ60" s="226">
        <v>8000</v>
      </c>
      <c r="BD60" s="226">
        <v>-440</v>
      </c>
      <c r="BH60" s="233">
        <f>-62.36164-218.26575-3000</f>
        <v>-3280.6273900000001</v>
      </c>
      <c r="BL60" s="194">
        <v>-3200</v>
      </c>
      <c r="BN60" s="237">
        <v>39254.14</v>
      </c>
      <c r="CG60" s="194">
        <v>5500</v>
      </c>
      <c r="CP60" s="259">
        <v>-5000</v>
      </c>
      <c r="CS60" s="264">
        <v>39652.199999999997</v>
      </c>
      <c r="DC60" s="194">
        <v>13100</v>
      </c>
      <c r="DD60" s="194">
        <v>-551.6</v>
      </c>
      <c r="DH60" s="194">
        <v>-4500</v>
      </c>
      <c r="DJ60" s="194">
        <v>-5.0999999999999996</v>
      </c>
      <c r="DL60" s="270">
        <v>-2400</v>
      </c>
      <c r="DR60" s="99">
        <v>42652.6</v>
      </c>
      <c r="DT60" s="99">
        <f t="shared" si="0"/>
        <v>42652.6</v>
      </c>
    </row>
    <row r="61" spans="1:124" ht="67.5" hidden="1" customHeight="1" x14ac:dyDescent="0.3">
      <c r="A61" s="164" t="s">
        <v>493</v>
      </c>
      <c r="B61" s="13">
        <v>905</v>
      </c>
      <c r="C61" s="14" t="s">
        <v>123</v>
      </c>
      <c r="D61" s="6" t="s">
        <v>115</v>
      </c>
      <c r="E61" s="14" t="s">
        <v>640</v>
      </c>
      <c r="F61" s="14" t="s">
        <v>50</v>
      </c>
      <c r="G61" s="57">
        <f>G62</f>
        <v>0</v>
      </c>
      <c r="H61" s="116"/>
      <c r="I61" s="117"/>
      <c r="J61" s="116"/>
      <c r="K61" s="80"/>
      <c r="L61" s="79"/>
      <c r="M61" s="101"/>
      <c r="AG61" s="79"/>
      <c r="AH61" s="79"/>
      <c r="DT61" s="99">
        <f t="shared" si="0"/>
        <v>0</v>
      </c>
    </row>
    <row r="62" spans="1:124" ht="25.5" hidden="1" customHeight="1" x14ac:dyDescent="0.3">
      <c r="A62" s="143" t="s">
        <v>60</v>
      </c>
      <c r="B62" s="13">
        <v>905</v>
      </c>
      <c r="C62" s="14" t="s">
        <v>123</v>
      </c>
      <c r="D62" s="6" t="s">
        <v>115</v>
      </c>
      <c r="E62" s="14" t="s">
        <v>640</v>
      </c>
      <c r="F62" s="14" t="s">
        <v>61</v>
      </c>
      <c r="G62" s="57">
        <v>0</v>
      </c>
      <c r="H62" s="116"/>
      <c r="I62" s="117"/>
      <c r="J62" s="116"/>
      <c r="K62" s="80"/>
      <c r="L62" s="79"/>
      <c r="M62" s="101"/>
      <c r="T62">
        <v>14</v>
      </c>
      <c r="AG62" s="79"/>
      <c r="AH62" s="79"/>
      <c r="AK62" s="79">
        <v>0</v>
      </c>
      <c r="DT62" s="99">
        <f t="shared" si="0"/>
        <v>0</v>
      </c>
    </row>
    <row r="63" spans="1:124" ht="100.5" hidden="1" customHeight="1" x14ac:dyDescent="0.3">
      <c r="A63" s="156" t="s">
        <v>249</v>
      </c>
      <c r="B63" s="13">
        <v>905</v>
      </c>
      <c r="C63" s="14" t="s">
        <v>123</v>
      </c>
      <c r="D63" s="6" t="s">
        <v>115</v>
      </c>
      <c r="E63" s="14" t="s">
        <v>648</v>
      </c>
      <c r="F63" s="14" t="s">
        <v>50</v>
      </c>
      <c r="G63" s="57">
        <f>G64</f>
        <v>0</v>
      </c>
      <c r="H63" s="116"/>
      <c r="I63" s="117"/>
      <c r="J63" s="116"/>
      <c r="K63" s="80"/>
      <c r="L63" s="79"/>
      <c r="M63" s="101"/>
      <c r="AG63" s="79"/>
      <c r="AH63" s="79"/>
      <c r="DT63" s="99">
        <f t="shared" si="0"/>
        <v>0</v>
      </c>
    </row>
    <row r="64" spans="1:124" ht="100.5" hidden="1" customHeight="1" x14ac:dyDescent="0.3">
      <c r="A64" s="143" t="s">
        <v>643</v>
      </c>
      <c r="B64" s="13">
        <v>905</v>
      </c>
      <c r="C64" s="14" t="s">
        <v>123</v>
      </c>
      <c r="D64" s="6" t="s">
        <v>115</v>
      </c>
      <c r="E64" s="14" t="s">
        <v>644</v>
      </c>
      <c r="F64" s="14" t="s">
        <v>50</v>
      </c>
      <c r="G64" s="57">
        <f>G65</f>
        <v>0</v>
      </c>
      <c r="H64" s="116"/>
      <c r="I64" s="117"/>
      <c r="J64" s="116"/>
      <c r="K64" s="80"/>
      <c r="L64" s="79"/>
      <c r="M64" s="101"/>
      <c r="AG64" s="79"/>
      <c r="AH64" s="79"/>
      <c r="DT64" s="99">
        <f t="shared" si="0"/>
        <v>0</v>
      </c>
    </row>
    <row r="65" spans="1:124" ht="51.75" hidden="1" customHeight="1" x14ac:dyDescent="0.3">
      <c r="A65" s="143" t="s">
        <v>425</v>
      </c>
      <c r="B65" s="13">
        <v>905</v>
      </c>
      <c r="C65" s="14" t="s">
        <v>123</v>
      </c>
      <c r="D65" s="6" t="s">
        <v>115</v>
      </c>
      <c r="E65" s="14" t="s">
        <v>644</v>
      </c>
      <c r="F65" s="14" t="s">
        <v>59</v>
      </c>
      <c r="G65" s="57">
        <v>0</v>
      </c>
      <c r="H65" s="116"/>
      <c r="I65" s="117"/>
      <c r="J65" s="116"/>
      <c r="K65" s="80"/>
      <c r="L65" s="79"/>
      <c r="M65" s="101"/>
      <c r="AG65" s="79"/>
      <c r="AH65" s="79"/>
      <c r="AO65" s="150">
        <v>1254</v>
      </c>
      <c r="AP65" s="151">
        <v>1524.4</v>
      </c>
      <c r="BE65" s="226">
        <v>-39.6</v>
      </c>
      <c r="BK65" s="226">
        <v>1143.7</v>
      </c>
      <c r="DT65" s="99">
        <f t="shared" si="0"/>
        <v>0</v>
      </c>
    </row>
    <row r="66" spans="1:124" ht="119.25" hidden="1" customHeight="1" x14ac:dyDescent="0.3">
      <c r="A66" s="143" t="s">
        <v>417</v>
      </c>
      <c r="B66" s="13">
        <v>905</v>
      </c>
      <c r="C66" s="14" t="s">
        <v>123</v>
      </c>
      <c r="D66" s="6" t="s">
        <v>115</v>
      </c>
      <c r="E66" s="14" t="s">
        <v>418</v>
      </c>
      <c r="F66" s="14" t="s">
        <v>50</v>
      </c>
      <c r="G66" s="57">
        <f>G67</f>
        <v>0</v>
      </c>
      <c r="H66" s="116"/>
      <c r="I66" s="117"/>
      <c r="J66" s="116"/>
      <c r="K66" s="80"/>
      <c r="L66" s="79"/>
      <c r="M66" s="101"/>
      <c r="AG66" s="79"/>
      <c r="AH66" s="79"/>
      <c r="DT66" s="99">
        <f t="shared" si="0"/>
        <v>0</v>
      </c>
    </row>
    <row r="67" spans="1:124" ht="51.75" hidden="1" customHeight="1" x14ac:dyDescent="0.3">
      <c r="A67" s="143" t="s">
        <v>425</v>
      </c>
      <c r="B67" s="13">
        <v>905</v>
      </c>
      <c r="C67" s="14" t="s">
        <v>123</v>
      </c>
      <c r="D67" s="6" t="s">
        <v>115</v>
      </c>
      <c r="E67" s="14" t="s">
        <v>418</v>
      </c>
      <c r="F67" s="14" t="s">
        <v>59</v>
      </c>
      <c r="G67" s="57">
        <v>0</v>
      </c>
      <c r="H67" s="116"/>
      <c r="I67" s="117"/>
      <c r="J67" s="116"/>
      <c r="K67" s="80"/>
      <c r="L67" s="79"/>
      <c r="M67" s="101"/>
      <c r="AG67" s="79"/>
      <c r="AH67" s="79"/>
      <c r="AN67" s="150">
        <v>12.7</v>
      </c>
      <c r="AQ67" s="151">
        <v>15.4</v>
      </c>
      <c r="AW67" s="101">
        <v>0.2</v>
      </c>
      <c r="BE67" s="226">
        <v>-0.4</v>
      </c>
      <c r="BK67" s="226">
        <v>11.6</v>
      </c>
      <c r="BL67" s="194">
        <v>0.4</v>
      </c>
      <c r="DT67" s="99">
        <f t="shared" si="0"/>
        <v>0</v>
      </c>
    </row>
    <row r="68" spans="1:124" ht="37.5" hidden="1" x14ac:dyDescent="0.3">
      <c r="A68" s="143" t="s">
        <v>68</v>
      </c>
      <c r="B68" s="13">
        <v>905</v>
      </c>
      <c r="C68" s="14" t="s">
        <v>123</v>
      </c>
      <c r="D68" s="14" t="s">
        <v>115</v>
      </c>
      <c r="E68" s="14" t="s">
        <v>846</v>
      </c>
      <c r="F68" s="14" t="s">
        <v>50</v>
      </c>
      <c r="G68" s="57">
        <f>G69+G81</f>
        <v>141292.9</v>
      </c>
      <c r="H68" s="116"/>
      <c r="I68" s="117"/>
      <c r="J68" s="116"/>
      <c r="K68" s="80"/>
      <c r="L68" s="79"/>
      <c r="M68" s="79"/>
      <c r="AG68" s="79"/>
      <c r="AH68" s="79"/>
      <c r="DT68" s="99">
        <f t="shared" si="0"/>
        <v>0</v>
      </c>
    </row>
    <row r="69" spans="1:124" ht="75" x14ac:dyDescent="0.3">
      <c r="A69" s="143" t="s">
        <v>70</v>
      </c>
      <c r="B69" s="13">
        <v>905</v>
      </c>
      <c r="C69" s="14" t="s">
        <v>123</v>
      </c>
      <c r="D69" s="14" t="s">
        <v>115</v>
      </c>
      <c r="E69" s="113" t="s">
        <v>1166</v>
      </c>
      <c r="F69" s="14" t="s">
        <v>50</v>
      </c>
      <c r="G69" s="57">
        <f>G70+G71+G73+G72</f>
        <v>141292.9</v>
      </c>
      <c r="H69" s="116"/>
      <c r="I69" s="117"/>
      <c r="J69" s="116"/>
      <c r="K69" s="80"/>
      <c r="L69" s="79"/>
      <c r="M69" s="79"/>
      <c r="AG69" s="79"/>
      <c r="AH69" s="79"/>
      <c r="DT69" s="99">
        <f t="shared" si="0"/>
        <v>0</v>
      </c>
    </row>
    <row r="70" spans="1:124" ht="93.75" x14ac:dyDescent="0.3">
      <c r="A70" s="143" t="s">
        <v>56</v>
      </c>
      <c r="B70" s="13">
        <v>905</v>
      </c>
      <c r="C70" s="14" t="s">
        <v>123</v>
      </c>
      <c r="D70" s="6" t="s">
        <v>115</v>
      </c>
      <c r="E70" s="113" t="s">
        <v>1166</v>
      </c>
      <c r="F70" s="14" t="s">
        <v>57</v>
      </c>
      <c r="G70" s="57">
        <f>DT70</f>
        <v>139776.1</v>
      </c>
      <c r="H70" s="125"/>
      <c r="I70" s="126">
        <v>94850.3</v>
      </c>
      <c r="J70" s="125"/>
      <c r="K70" s="80"/>
      <c r="L70" s="79"/>
      <c r="M70" s="79"/>
      <c r="T70">
        <v>0.874</v>
      </c>
      <c r="Z70">
        <v>-1.4903999999999999</v>
      </c>
      <c r="AG70" s="79">
        <v>4960.7</v>
      </c>
      <c r="AH70" s="79"/>
      <c r="AK70" s="79">
        <v>93421.2</v>
      </c>
      <c r="AP70" s="151">
        <v>13233.4</v>
      </c>
      <c r="AX70" s="101">
        <v>1.1830000000000001</v>
      </c>
      <c r="BK70" s="226">
        <v>3810.5</v>
      </c>
      <c r="BO70" s="238">
        <v>108736.4</v>
      </c>
      <c r="CA70" s="226">
        <v>8756.7000000000007</v>
      </c>
      <c r="CD70" s="226">
        <v>1.5720000000000001</v>
      </c>
      <c r="CG70" s="194">
        <v>1.71</v>
      </c>
      <c r="CI70" s="194">
        <v>9316.6</v>
      </c>
      <c r="CL70" s="194">
        <v>-2.1414599999999999</v>
      </c>
      <c r="CP70" s="259">
        <v>-0.17100000000000001</v>
      </c>
      <c r="CQ70" s="99">
        <f>128055.3-1549.2</f>
        <v>126506.1</v>
      </c>
      <c r="CW70" s="268">
        <v>13044.2</v>
      </c>
      <c r="CX70" s="270">
        <v>3.278</v>
      </c>
      <c r="CZ70" s="194">
        <v>2.0099999999999998</v>
      </c>
      <c r="DE70" s="194">
        <v>-90</v>
      </c>
      <c r="DI70" s="270">
        <v>-748.2</v>
      </c>
      <c r="DN70" s="274">
        <f>141292.9-1516.8</f>
        <v>139776.1</v>
      </c>
      <c r="DT70" s="99">
        <f t="shared" si="0"/>
        <v>139776.1</v>
      </c>
    </row>
    <row r="71" spans="1:124" ht="37.5" x14ac:dyDescent="0.3">
      <c r="A71" s="143" t="s">
        <v>425</v>
      </c>
      <c r="B71" s="13">
        <v>905</v>
      </c>
      <c r="C71" s="14" t="s">
        <v>123</v>
      </c>
      <c r="D71" s="6" t="s">
        <v>115</v>
      </c>
      <c r="E71" s="113" t="s">
        <v>1166</v>
      </c>
      <c r="F71" s="14" t="s">
        <v>59</v>
      </c>
      <c r="G71" s="57">
        <f>DT71</f>
        <v>1516.8</v>
      </c>
      <c r="H71" s="125"/>
      <c r="I71" s="126">
        <v>1563.3</v>
      </c>
      <c r="J71" s="125"/>
      <c r="K71" s="80"/>
      <c r="L71" s="79"/>
      <c r="M71" s="79"/>
      <c r="T71">
        <v>-0.874</v>
      </c>
      <c r="AG71" s="79"/>
      <c r="AH71" s="79"/>
      <c r="AK71" s="79">
        <v>1577.4</v>
      </c>
      <c r="AX71" s="101">
        <v>-1.1830000000000001</v>
      </c>
      <c r="BO71" s="238">
        <v>1563.3</v>
      </c>
      <c r="CD71" s="226">
        <v>-1.5720000000000001</v>
      </c>
      <c r="CG71" s="194">
        <v>-1.71</v>
      </c>
      <c r="CP71" s="259">
        <v>0.17100000000000001</v>
      </c>
      <c r="CQ71" s="99">
        <v>1549.2</v>
      </c>
      <c r="CX71" s="270">
        <v>-3.278</v>
      </c>
      <c r="CZ71" s="194">
        <v>-2.0099999999999998</v>
      </c>
      <c r="DC71" s="194">
        <v>-90</v>
      </c>
      <c r="DE71" s="194">
        <v>90</v>
      </c>
      <c r="DN71" s="274">
        <v>1516.8</v>
      </c>
      <c r="DT71" s="99">
        <f t="shared" si="0"/>
        <v>1516.8</v>
      </c>
    </row>
    <row r="72" spans="1:124" ht="28.5" hidden="1" customHeight="1" x14ac:dyDescent="0.3">
      <c r="A72" s="143" t="s">
        <v>175</v>
      </c>
      <c r="B72" s="13">
        <v>905</v>
      </c>
      <c r="C72" s="14" t="s">
        <v>123</v>
      </c>
      <c r="D72" s="6" t="s">
        <v>115</v>
      </c>
      <c r="E72" s="113" t="s">
        <v>1166</v>
      </c>
      <c r="F72" s="14" t="s">
        <v>176</v>
      </c>
      <c r="G72" s="72">
        <v>0</v>
      </c>
      <c r="H72" s="116"/>
      <c r="I72" s="117"/>
      <c r="J72" s="116"/>
      <c r="K72" s="80"/>
      <c r="L72" s="79"/>
      <c r="M72" s="79"/>
      <c r="Z72">
        <v>1.4903999999999999</v>
      </c>
      <c r="AG72" s="79"/>
      <c r="AH72" s="79"/>
      <c r="AK72" s="79">
        <v>0</v>
      </c>
      <c r="CL72" s="194">
        <v>2.1414599999999999</v>
      </c>
      <c r="DC72" s="194">
        <v>90</v>
      </c>
      <c r="DT72" s="99">
        <f t="shared" si="0"/>
        <v>0</v>
      </c>
    </row>
    <row r="73" spans="1:124" hidden="1" x14ac:dyDescent="0.3">
      <c r="A73" s="143" t="s">
        <v>60</v>
      </c>
      <c r="B73" s="13">
        <v>905</v>
      </c>
      <c r="C73" s="14" t="s">
        <v>123</v>
      </c>
      <c r="D73" s="6" t="s">
        <v>115</v>
      </c>
      <c r="E73" s="14" t="s">
        <v>71</v>
      </c>
      <c r="F73" s="14" t="s">
        <v>61</v>
      </c>
      <c r="G73" s="57">
        <v>0</v>
      </c>
      <c r="H73" s="116"/>
      <c r="I73" s="117"/>
      <c r="J73" s="116"/>
      <c r="K73" s="80"/>
      <c r="L73" s="79"/>
      <c r="M73" s="79"/>
      <c r="AG73" s="79"/>
      <c r="AH73" s="79"/>
      <c r="DT73" s="99">
        <f t="shared" si="0"/>
        <v>0</v>
      </c>
    </row>
    <row r="74" spans="1:124" ht="37.5" hidden="1" x14ac:dyDescent="0.3">
      <c r="A74" s="143" t="s">
        <v>920</v>
      </c>
      <c r="B74" s="13">
        <v>905</v>
      </c>
      <c r="C74" s="14" t="s">
        <v>123</v>
      </c>
      <c r="D74" s="6" t="s">
        <v>115</v>
      </c>
      <c r="E74" s="14" t="s">
        <v>921</v>
      </c>
      <c r="F74" s="14" t="s">
        <v>50</v>
      </c>
      <c r="G74" s="57">
        <f>G75</f>
        <v>0</v>
      </c>
      <c r="H74" s="116"/>
      <c r="I74" s="117"/>
      <c r="J74" s="116"/>
      <c r="K74" s="80"/>
      <c r="L74" s="79"/>
      <c r="M74" s="79"/>
      <c r="AG74" s="79"/>
      <c r="AH74" s="79"/>
      <c r="DT74" s="99">
        <f t="shared" ref="DT74:DT137" si="1">DN74+DO74+DP74+DQ74+DR74+DS74</f>
        <v>0</v>
      </c>
    </row>
    <row r="75" spans="1:124" ht="37.5" hidden="1" x14ac:dyDescent="0.3">
      <c r="A75" s="143" t="s">
        <v>425</v>
      </c>
      <c r="B75" s="13">
        <v>905</v>
      </c>
      <c r="C75" s="14" t="s">
        <v>123</v>
      </c>
      <c r="D75" s="6" t="s">
        <v>115</v>
      </c>
      <c r="E75" s="14" t="s">
        <v>921</v>
      </c>
      <c r="F75" s="14" t="s">
        <v>59</v>
      </c>
      <c r="G75" s="57">
        <v>0</v>
      </c>
      <c r="H75" s="116"/>
      <c r="I75" s="117"/>
      <c r="J75" s="116"/>
      <c r="K75" s="80"/>
      <c r="L75" s="79"/>
      <c r="M75" s="79"/>
      <c r="AG75" s="79"/>
      <c r="AH75" s="79"/>
      <c r="CH75" s="258">
        <v>872.6</v>
      </c>
      <c r="DT75" s="99">
        <f t="shared" si="1"/>
        <v>0</v>
      </c>
    </row>
    <row r="76" spans="1:124" ht="75" hidden="1" x14ac:dyDescent="0.3">
      <c r="A76" s="156" t="s">
        <v>249</v>
      </c>
      <c r="B76" s="13">
        <v>905</v>
      </c>
      <c r="C76" s="14" t="s">
        <v>123</v>
      </c>
      <c r="D76" s="6" t="s">
        <v>115</v>
      </c>
      <c r="E76" s="14" t="s">
        <v>869</v>
      </c>
      <c r="F76" s="14" t="s">
        <v>50</v>
      </c>
      <c r="G76" s="57">
        <f>G77</f>
        <v>0</v>
      </c>
      <c r="H76" s="116"/>
      <c r="I76" s="117"/>
      <c r="J76" s="116"/>
      <c r="K76" s="80"/>
      <c r="L76" s="79"/>
      <c r="M76" s="79"/>
      <c r="AG76" s="79"/>
      <c r="AH76" s="79"/>
      <c r="DT76" s="99">
        <f t="shared" si="1"/>
        <v>0</v>
      </c>
    </row>
    <row r="77" spans="1:124" ht="112.5" hidden="1" x14ac:dyDescent="0.3">
      <c r="A77" s="143" t="s">
        <v>868</v>
      </c>
      <c r="B77" s="13">
        <v>905</v>
      </c>
      <c r="C77" s="14" t="s">
        <v>123</v>
      </c>
      <c r="D77" s="6" t="s">
        <v>115</v>
      </c>
      <c r="E77" s="14" t="s">
        <v>870</v>
      </c>
      <c r="F77" s="14" t="s">
        <v>50</v>
      </c>
      <c r="G77" s="57">
        <f>G78</f>
        <v>0</v>
      </c>
      <c r="H77" s="116"/>
      <c r="I77" s="117"/>
      <c r="J77" s="116"/>
      <c r="K77" s="80"/>
      <c r="L77" s="79"/>
      <c r="M77" s="79"/>
      <c r="AG77" s="79"/>
      <c r="AH77" s="79"/>
      <c r="DT77" s="99">
        <f t="shared" si="1"/>
        <v>0</v>
      </c>
    </row>
    <row r="78" spans="1:124" ht="37.5" hidden="1" x14ac:dyDescent="0.3">
      <c r="A78" s="143" t="s">
        <v>425</v>
      </c>
      <c r="B78" s="13">
        <v>905</v>
      </c>
      <c r="C78" s="14" t="s">
        <v>123</v>
      </c>
      <c r="D78" s="6" t="s">
        <v>115</v>
      </c>
      <c r="E78" s="14" t="s">
        <v>870</v>
      </c>
      <c r="F78" s="14" t="s">
        <v>59</v>
      </c>
      <c r="G78" s="57">
        <v>0</v>
      </c>
      <c r="H78" s="116"/>
      <c r="I78" s="117"/>
      <c r="J78" s="116"/>
      <c r="K78" s="80"/>
      <c r="L78" s="79"/>
      <c r="M78" s="79"/>
      <c r="AG78" s="79"/>
      <c r="AH78" s="79"/>
      <c r="BY78" s="151">
        <v>2970</v>
      </c>
      <c r="DT78" s="99">
        <f t="shared" si="1"/>
        <v>0</v>
      </c>
    </row>
    <row r="79" spans="1:124" ht="112.5" hidden="1" x14ac:dyDescent="0.3">
      <c r="A79" s="143" t="s">
        <v>417</v>
      </c>
      <c r="B79" s="13">
        <v>905</v>
      </c>
      <c r="C79" s="14" t="s">
        <v>123</v>
      </c>
      <c r="D79" s="6" t="s">
        <v>115</v>
      </c>
      <c r="E79" s="14" t="s">
        <v>871</v>
      </c>
      <c r="F79" s="14" t="s">
        <v>50</v>
      </c>
      <c r="G79" s="57">
        <f>G80</f>
        <v>0</v>
      </c>
      <c r="H79" s="116"/>
      <c r="I79" s="117"/>
      <c r="J79" s="116"/>
      <c r="K79" s="80"/>
      <c r="L79" s="79"/>
      <c r="M79" s="79"/>
      <c r="AG79" s="79"/>
      <c r="AH79" s="79"/>
      <c r="DT79" s="99">
        <f t="shared" si="1"/>
        <v>0</v>
      </c>
    </row>
    <row r="80" spans="1:124" ht="37.5" hidden="1" x14ac:dyDescent="0.3">
      <c r="A80" s="143" t="s">
        <v>425</v>
      </c>
      <c r="B80" s="13">
        <v>905</v>
      </c>
      <c r="C80" s="14" t="s">
        <v>123</v>
      </c>
      <c r="D80" s="6" t="s">
        <v>115</v>
      </c>
      <c r="E80" s="14" t="s">
        <v>871</v>
      </c>
      <c r="F80" s="14" t="s">
        <v>59</v>
      </c>
      <c r="G80" s="57">
        <v>0</v>
      </c>
      <c r="H80" s="116"/>
      <c r="I80" s="117"/>
      <c r="J80" s="116"/>
      <c r="K80" s="80"/>
      <c r="L80" s="79"/>
      <c r="M80" s="79"/>
      <c r="AG80" s="79"/>
      <c r="AH80" s="79"/>
      <c r="BX80" s="151">
        <v>31</v>
      </c>
      <c r="DT80" s="99">
        <f t="shared" si="1"/>
        <v>0</v>
      </c>
    </row>
    <row r="81" spans="1:124" ht="170.25" hidden="1" customHeight="1" x14ac:dyDescent="0.3">
      <c r="A81" s="271" t="s">
        <v>1124</v>
      </c>
      <c r="B81" s="13">
        <v>905</v>
      </c>
      <c r="C81" s="14" t="s">
        <v>123</v>
      </c>
      <c r="D81" s="6" t="s">
        <v>115</v>
      </c>
      <c r="E81" s="14" t="s">
        <v>1123</v>
      </c>
      <c r="F81" s="14" t="s">
        <v>50</v>
      </c>
      <c r="G81" s="57">
        <f>G82</f>
        <v>0</v>
      </c>
      <c r="H81" s="116"/>
      <c r="I81" s="117"/>
      <c r="J81" s="116"/>
      <c r="K81" s="80"/>
      <c r="L81" s="79"/>
      <c r="M81" s="79"/>
      <c r="AG81" s="79"/>
      <c r="AH81" s="79"/>
      <c r="DT81" s="99">
        <f t="shared" si="1"/>
        <v>0</v>
      </c>
    </row>
    <row r="82" spans="1:124" ht="37.5" hidden="1" x14ac:dyDescent="0.3">
      <c r="A82" s="143" t="s">
        <v>425</v>
      </c>
      <c r="B82" s="13">
        <v>905</v>
      </c>
      <c r="C82" s="14" t="s">
        <v>123</v>
      </c>
      <c r="D82" s="6" t="s">
        <v>115</v>
      </c>
      <c r="E82" s="14" t="s">
        <v>1123</v>
      </c>
      <c r="F82" s="14" t="s">
        <v>59</v>
      </c>
      <c r="G82" s="57">
        <f>DB82+DD82</f>
        <v>0</v>
      </c>
      <c r="H82" s="116"/>
      <c r="I82" s="117"/>
      <c r="J82" s="116"/>
      <c r="K82" s="80"/>
      <c r="L82" s="79"/>
      <c r="M82" s="79"/>
      <c r="AG82" s="79"/>
      <c r="AH82" s="79"/>
      <c r="DB82" s="194">
        <v>842.4</v>
      </c>
      <c r="DD82" s="194">
        <v>-842.4</v>
      </c>
      <c r="DT82" s="99">
        <f t="shared" si="1"/>
        <v>0</v>
      </c>
    </row>
    <row r="83" spans="1:124" x14ac:dyDescent="0.3">
      <c r="A83" s="155" t="s">
        <v>125</v>
      </c>
      <c r="B83" s="12">
        <v>905</v>
      </c>
      <c r="C83" s="9" t="s">
        <v>123</v>
      </c>
      <c r="D83" s="19" t="s">
        <v>116</v>
      </c>
      <c r="E83" s="12" t="s">
        <v>49</v>
      </c>
      <c r="F83" s="9" t="s">
        <v>50</v>
      </c>
      <c r="G83" s="68">
        <f>G84+G155+G173</f>
        <v>390113.00000000006</v>
      </c>
      <c r="H83" s="116"/>
      <c r="I83" s="117"/>
      <c r="J83" s="116"/>
      <c r="K83" s="80"/>
      <c r="L83" s="79"/>
      <c r="M83" s="79"/>
      <c r="AG83" s="79"/>
      <c r="AH83" s="79"/>
      <c r="DT83" s="99">
        <f t="shared" si="1"/>
        <v>0</v>
      </c>
    </row>
    <row r="84" spans="1:124" ht="43.5" customHeight="1" x14ac:dyDescent="0.3">
      <c r="A84" s="143" t="s">
        <v>38</v>
      </c>
      <c r="B84" s="13">
        <v>905</v>
      </c>
      <c r="C84" s="14" t="s">
        <v>123</v>
      </c>
      <c r="D84" s="6" t="s">
        <v>116</v>
      </c>
      <c r="E84" s="15" t="s">
        <v>400</v>
      </c>
      <c r="F84" s="14" t="s">
        <v>50</v>
      </c>
      <c r="G84" s="57">
        <f>G85+G167+G165</f>
        <v>390113.00000000006</v>
      </c>
      <c r="H84" s="116"/>
      <c r="I84" s="117"/>
      <c r="J84" s="116"/>
      <c r="K84" s="80"/>
      <c r="L84" s="79"/>
      <c r="M84" s="79"/>
      <c r="AG84" s="79"/>
      <c r="AH84" s="79"/>
      <c r="DT84" s="99">
        <f t="shared" si="1"/>
        <v>0</v>
      </c>
    </row>
    <row r="85" spans="1:124" ht="56.25" x14ac:dyDescent="0.3">
      <c r="A85" s="143" t="s">
        <v>138</v>
      </c>
      <c r="B85" s="13">
        <v>905</v>
      </c>
      <c r="C85" s="14" t="s">
        <v>123</v>
      </c>
      <c r="D85" s="6" t="s">
        <v>116</v>
      </c>
      <c r="E85" s="15" t="s">
        <v>51</v>
      </c>
      <c r="F85" s="14" t="s">
        <v>50</v>
      </c>
      <c r="G85" s="57">
        <f>G86+G112+G128+G121+G126+G149+G152+G107+G100+G104+G161+G146</f>
        <v>280496.90000000002</v>
      </c>
      <c r="H85" s="116"/>
      <c r="I85" s="117"/>
      <c r="J85" s="116"/>
      <c r="K85" s="80"/>
      <c r="L85" s="79"/>
      <c r="M85" s="79"/>
      <c r="AG85" s="79"/>
      <c r="AH85" s="79"/>
      <c r="DT85" s="99">
        <f t="shared" si="1"/>
        <v>0</v>
      </c>
    </row>
    <row r="86" spans="1:124" ht="37.5" x14ac:dyDescent="0.3">
      <c r="A86" s="143" t="s">
        <v>52</v>
      </c>
      <c r="B86" s="13">
        <v>905</v>
      </c>
      <c r="C86" s="14" t="s">
        <v>123</v>
      </c>
      <c r="D86" s="6" t="s">
        <v>116</v>
      </c>
      <c r="E86" s="15" t="s">
        <v>53</v>
      </c>
      <c r="F86" s="14" t="s">
        <v>50</v>
      </c>
      <c r="G86" s="57">
        <f>G87+G92+G95+G96</f>
        <v>32855.4</v>
      </c>
      <c r="H86" s="116"/>
      <c r="I86" s="117"/>
      <c r="J86" s="116"/>
      <c r="K86" s="80"/>
      <c r="L86" s="79"/>
      <c r="M86" s="79"/>
      <c r="AG86" s="79"/>
      <c r="AH86" s="79"/>
      <c r="DT86" s="99">
        <f t="shared" si="1"/>
        <v>0</v>
      </c>
    </row>
    <row r="87" spans="1:124" x14ac:dyDescent="0.3">
      <c r="A87" s="143" t="s">
        <v>73</v>
      </c>
      <c r="B87" s="13">
        <v>905</v>
      </c>
      <c r="C87" s="14" t="s">
        <v>123</v>
      </c>
      <c r="D87" s="6" t="s">
        <v>116</v>
      </c>
      <c r="E87" s="14" t="s">
        <v>39</v>
      </c>
      <c r="F87" s="14" t="s">
        <v>50</v>
      </c>
      <c r="G87" s="57">
        <f>G88+G89+G91+G90</f>
        <v>31969.100000000002</v>
      </c>
      <c r="H87" s="116"/>
      <c r="I87" s="117"/>
      <c r="J87" s="116"/>
      <c r="K87" s="80"/>
      <c r="L87" s="79"/>
      <c r="M87" s="79"/>
      <c r="AG87" s="79"/>
      <c r="AH87" s="79"/>
      <c r="DT87" s="99">
        <f t="shared" si="1"/>
        <v>0</v>
      </c>
    </row>
    <row r="88" spans="1:124" ht="93.75" x14ac:dyDescent="0.3">
      <c r="A88" s="143" t="s">
        <v>56</v>
      </c>
      <c r="B88" s="13">
        <v>905</v>
      </c>
      <c r="C88" s="14" t="s">
        <v>123</v>
      </c>
      <c r="D88" s="6" t="s">
        <v>116</v>
      </c>
      <c r="E88" s="14" t="s">
        <v>39</v>
      </c>
      <c r="F88" s="14" t="s">
        <v>57</v>
      </c>
      <c r="G88" s="57">
        <f>DT88</f>
        <v>661.8</v>
      </c>
      <c r="H88" s="125">
        <v>281.39999999999998</v>
      </c>
      <c r="I88" s="126"/>
      <c r="J88" s="125"/>
      <c r="K88" s="80"/>
      <c r="L88" s="79"/>
      <c r="M88" s="79"/>
      <c r="T88">
        <v>3.5</v>
      </c>
      <c r="AC88">
        <v>30</v>
      </c>
      <c r="AG88" s="79"/>
      <c r="AH88" s="79">
        <v>8</v>
      </c>
      <c r="AK88" s="79">
        <v>282.89999999999998</v>
      </c>
      <c r="AN88" s="150">
        <v>20</v>
      </c>
      <c r="BJ88" s="194">
        <f>3.6+32.283</f>
        <v>35.883000000000003</v>
      </c>
      <c r="BM88" s="100">
        <f>306.5</f>
        <v>306.5</v>
      </c>
      <c r="CP88" s="259">
        <v>10.4</v>
      </c>
      <c r="CS88" s="264">
        <v>380.4</v>
      </c>
      <c r="CV88" s="268">
        <v>31</v>
      </c>
      <c r="DO88" s="274">
        <v>403.2</v>
      </c>
      <c r="DS88" s="99">
        <v>258.60000000000002</v>
      </c>
      <c r="DT88" s="99">
        <f t="shared" si="1"/>
        <v>661.8</v>
      </c>
    </row>
    <row r="89" spans="1:124" ht="37.5" x14ac:dyDescent="0.3">
      <c r="A89" s="143" t="s">
        <v>425</v>
      </c>
      <c r="B89" s="13">
        <v>905</v>
      </c>
      <c r="C89" s="14" t="s">
        <v>123</v>
      </c>
      <c r="D89" s="6" t="s">
        <v>116</v>
      </c>
      <c r="E89" s="14" t="s">
        <v>39</v>
      </c>
      <c r="F89" s="14" t="s">
        <v>59</v>
      </c>
      <c r="G89" s="57">
        <f>DT89</f>
        <v>24780.800000000003</v>
      </c>
      <c r="H89" s="125">
        <f>5853+9075.4+2525.3+631.3</f>
        <v>18085</v>
      </c>
      <c r="I89" s="126"/>
      <c r="J89" s="125"/>
      <c r="K89" s="80"/>
      <c r="L89" s="79"/>
      <c r="M89" s="79">
        <v>211</v>
      </c>
      <c r="N89">
        <v>0</v>
      </c>
      <c r="T89">
        <f>9.2+270+4.6+20.2+5.5+44.8+37.3+77.3+105+44</f>
        <v>617.90000000000009</v>
      </c>
      <c r="U89">
        <f>18+62</f>
        <v>80</v>
      </c>
      <c r="W89">
        <f>1209+1310-10</f>
        <v>2509</v>
      </c>
      <c r="AC89">
        <f>58+40+660</f>
        <v>758</v>
      </c>
      <c r="AD89">
        <v>600</v>
      </c>
      <c r="AE89">
        <f>75+363.8+121</f>
        <v>559.79999999999995</v>
      </c>
      <c r="AG89" s="79"/>
      <c r="AH89" s="79">
        <f>387.3+59</f>
        <v>446.3</v>
      </c>
      <c r="AK89" s="79">
        <f>19623.2</f>
        <v>19623.2</v>
      </c>
      <c r="AN89" s="150">
        <v>-20</v>
      </c>
      <c r="BJ89" s="194">
        <f>120-3.6-32.283+86.40211</f>
        <v>170.51911000000001</v>
      </c>
      <c r="BL89" s="194">
        <f>475-100+394</f>
        <v>769</v>
      </c>
      <c r="BM89" s="100">
        <f>6600.3+8953.9+2371</f>
        <v>17925.2</v>
      </c>
      <c r="CB89" s="226">
        <f>22+150</f>
        <v>172</v>
      </c>
      <c r="CH89" s="258">
        <f>96.2+146</f>
        <v>242.2</v>
      </c>
      <c r="CJ89" s="194">
        <f>2067.2+26</f>
        <v>2093.1999999999998</v>
      </c>
      <c r="CP89" s="259">
        <v>1.7</v>
      </c>
      <c r="CS89" s="264">
        <f>956.4+334.5+423.2+787.9+6432.1+8205.6+2270.5+6025.4</f>
        <v>25435.599999999999</v>
      </c>
      <c r="CU89" s="258">
        <f>112.2+1106.8+1100</f>
        <v>2319</v>
      </c>
      <c r="CV89" s="268">
        <v>189.9</v>
      </c>
      <c r="CY89" s="194">
        <f>40.5+35+310.7+30</f>
        <v>416.2</v>
      </c>
      <c r="CZ89" s="194">
        <f>220+500+30+380</f>
        <v>1130</v>
      </c>
      <c r="DD89" s="194">
        <v>181.5</v>
      </c>
      <c r="DF89" s="272">
        <f>332.1+524.81844</f>
        <v>856.91844000000003</v>
      </c>
      <c r="DP89" s="99">
        <f>1882.9+6716.8+4626.8+486.9+2385.8+1805.8+437+138.3+156.5+43.4+49.2+234.6+265.5+237.9+269.2</f>
        <v>19736.600000000002</v>
      </c>
      <c r="DQ89" s="99">
        <f>97.6+25.6+70.6</f>
        <v>193.79999999999998</v>
      </c>
      <c r="DR89" s="99">
        <f>1052+367.9+465.5</f>
        <v>1885.4</v>
      </c>
      <c r="DS89" s="99">
        <f>2665+100+200</f>
        <v>2965</v>
      </c>
      <c r="DT89" s="99">
        <f t="shared" si="1"/>
        <v>24780.800000000003</v>
      </c>
    </row>
    <row r="90" spans="1:124" ht="56.25" x14ac:dyDescent="0.3">
      <c r="A90" s="143" t="s">
        <v>264</v>
      </c>
      <c r="B90" s="13">
        <v>905</v>
      </c>
      <c r="C90" s="14" t="s">
        <v>123</v>
      </c>
      <c r="D90" s="6" t="s">
        <v>116</v>
      </c>
      <c r="E90" s="14" t="s">
        <v>39</v>
      </c>
      <c r="F90" s="14" t="s">
        <v>261</v>
      </c>
      <c r="G90" s="57">
        <f>DT90</f>
        <v>6526.5</v>
      </c>
      <c r="H90" s="125">
        <f>6007.1+389.3</f>
        <v>6396.4000000000005</v>
      </c>
      <c r="I90" s="126"/>
      <c r="J90" s="125"/>
      <c r="K90" s="80"/>
      <c r="L90" s="80">
        <v>4269.2</v>
      </c>
      <c r="M90" s="79"/>
      <c r="N90">
        <v>58</v>
      </c>
      <c r="T90">
        <f>80+4.6+30</f>
        <v>114.6</v>
      </c>
      <c r="W90">
        <f>120+10</f>
        <v>130</v>
      </c>
      <c r="Z90">
        <v>60</v>
      </c>
      <c r="AG90" s="79"/>
      <c r="AH90" s="79"/>
      <c r="AK90" s="79">
        <f>4847.4+726</f>
        <v>5573.4</v>
      </c>
      <c r="AN90" s="150">
        <f>51.2-0.1</f>
        <v>51.1</v>
      </c>
      <c r="BM90" s="100">
        <f>6405.2-727.8</f>
        <v>5677.4</v>
      </c>
      <c r="CB90" s="226">
        <v>50</v>
      </c>
      <c r="CL90" s="194">
        <v>241.2</v>
      </c>
      <c r="CS90" s="264">
        <f>0.1+389.5+251.9</f>
        <v>641.5</v>
      </c>
      <c r="CY90" s="194">
        <f>10+40.5</f>
        <v>50.5</v>
      </c>
      <c r="DC90" s="194">
        <f>51+6+338</f>
        <v>395</v>
      </c>
      <c r="DP90" s="99">
        <f>4770.3+1453.7</f>
        <v>6224</v>
      </c>
      <c r="DQ90" s="99">
        <v>25.2</v>
      </c>
      <c r="DR90" s="99">
        <v>277.3</v>
      </c>
      <c r="DT90" s="99">
        <f t="shared" si="1"/>
        <v>6526.5</v>
      </c>
    </row>
    <row r="91" spans="1:124" hidden="1" x14ac:dyDescent="0.3">
      <c r="A91" s="143" t="s">
        <v>60</v>
      </c>
      <c r="B91" s="13">
        <v>905</v>
      </c>
      <c r="C91" s="14" t="s">
        <v>123</v>
      </c>
      <c r="D91" s="6" t="s">
        <v>116</v>
      </c>
      <c r="E91" s="14" t="s">
        <v>39</v>
      </c>
      <c r="F91" s="14" t="s">
        <v>61</v>
      </c>
      <c r="G91" s="57">
        <v>0</v>
      </c>
      <c r="H91" s="116">
        <f>212.5+294.1</f>
        <v>506.6</v>
      </c>
      <c r="I91" s="117"/>
      <c r="J91" s="116"/>
      <c r="K91" s="80"/>
      <c r="L91" s="79"/>
      <c r="M91" s="79"/>
      <c r="W91">
        <v>6</v>
      </c>
      <c r="AE91">
        <v>-1.0529999999999999</v>
      </c>
      <c r="AG91" s="79"/>
      <c r="AH91" s="79"/>
      <c r="AK91" s="79">
        <v>0</v>
      </c>
      <c r="BE91" s="226">
        <v>80.900000000000006</v>
      </c>
      <c r="BL91" s="194">
        <v>-51.9</v>
      </c>
      <c r="BM91" s="100">
        <f>206.9+294.1</f>
        <v>501</v>
      </c>
      <c r="CL91" s="194">
        <v>-2.1019999999999999</v>
      </c>
      <c r="CS91" s="264">
        <v>416.7</v>
      </c>
      <c r="DH91" s="194">
        <v>11</v>
      </c>
      <c r="DI91" s="270">
        <f>49.886-50.9</f>
        <v>-1.0139999999999958</v>
      </c>
      <c r="DL91" s="270">
        <v>51</v>
      </c>
      <c r="DT91" s="99">
        <f t="shared" si="1"/>
        <v>0</v>
      </c>
    </row>
    <row r="92" spans="1:124" ht="37.5" x14ac:dyDescent="0.3">
      <c r="A92" s="162" t="s">
        <v>374</v>
      </c>
      <c r="B92" s="13">
        <v>905</v>
      </c>
      <c r="C92" s="14" t="s">
        <v>123</v>
      </c>
      <c r="D92" s="6" t="s">
        <v>116</v>
      </c>
      <c r="E92" s="14" t="s">
        <v>376</v>
      </c>
      <c r="F92" s="14" t="s">
        <v>50</v>
      </c>
      <c r="G92" s="72">
        <f>G98+G97+G99</f>
        <v>886.3</v>
      </c>
      <c r="H92" s="116"/>
      <c r="I92" s="117"/>
      <c r="J92" s="116"/>
      <c r="K92" s="80"/>
      <c r="L92" s="79"/>
      <c r="M92" s="79"/>
      <c r="AG92" s="79"/>
      <c r="AH92" s="79"/>
      <c r="DT92" s="99">
        <f t="shared" si="1"/>
        <v>0</v>
      </c>
    </row>
    <row r="93" spans="1:124" ht="93.75" hidden="1" x14ac:dyDescent="0.3">
      <c r="A93" s="143" t="s">
        <v>56</v>
      </c>
      <c r="B93" s="13">
        <v>905</v>
      </c>
      <c r="C93" s="14" t="s">
        <v>123</v>
      </c>
      <c r="D93" s="6" t="s">
        <v>116</v>
      </c>
      <c r="E93" s="14" t="s">
        <v>376</v>
      </c>
      <c r="F93" s="14" t="s">
        <v>57</v>
      </c>
      <c r="G93" s="72">
        <v>0</v>
      </c>
      <c r="H93" s="116"/>
      <c r="I93" s="117"/>
      <c r="J93" s="116"/>
      <c r="K93" s="80"/>
      <c r="L93" s="79"/>
      <c r="M93" s="79"/>
      <c r="AG93" s="79"/>
      <c r="AH93" s="79"/>
      <c r="DT93" s="99">
        <f t="shared" si="1"/>
        <v>0</v>
      </c>
    </row>
    <row r="94" spans="1:124" hidden="1" x14ac:dyDescent="0.3">
      <c r="A94" s="143" t="s">
        <v>60</v>
      </c>
      <c r="B94" s="13">
        <v>905</v>
      </c>
      <c r="C94" s="14" t="s">
        <v>123</v>
      </c>
      <c r="D94" s="6" t="s">
        <v>116</v>
      </c>
      <c r="E94" s="14" t="s">
        <v>376</v>
      </c>
      <c r="F94" s="14" t="s">
        <v>61</v>
      </c>
      <c r="G94" s="72">
        <v>0</v>
      </c>
      <c r="H94" s="116"/>
      <c r="I94" s="117"/>
      <c r="J94" s="116"/>
      <c r="K94" s="80"/>
      <c r="L94" s="79"/>
      <c r="M94" s="79"/>
      <c r="AG94" s="79"/>
      <c r="AH94" s="79"/>
      <c r="DT94" s="99">
        <f t="shared" si="1"/>
        <v>0</v>
      </c>
    </row>
    <row r="95" spans="1:124" ht="45.75" hidden="1" customHeight="1" x14ac:dyDescent="0.3">
      <c r="A95" s="162" t="s">
        <v>378</v>
      </c>
      <c r="B95" s="13">
        <v>905</v>
      </c>
      <c r="C95" s="14" t="s">
        <v>123</v>
      </c>
      <c r="D95" s="6" t="s">
        <v>116</v>
      </c>
      <c r="E95" s="14" t="s">
        <v>492</v>
      </c>
      <c r="F95" s="14" t="s">
        <v>50</v>
      </c>
      <c r="G95" s="72">
        <v>0</v>
      </c>
      <c r="H95" s="116"/>
      <c r="I95" s="117"/>
      <c r="J95" s="116"/>
      <c r="K95" s="80"/>
      <c r="L95" s="79"/>
      <c r="M95" s="79"/>
      <c r="AG95" s="79"/>
      <c r="AH95" s="79"/>
      <c r="DT95" s="99">
        <f t="shared" si="1"/>
        <v>0</v>
      </c>
    </row>
    <row r="96" spans="1:124" ht="45.75" hidden="1" customHeight="1" x14ac:dyDescent="0.3">
      <c r="A96" s="162" t="s">
        <v>374</v>
      </c>
      <c r="B96" s="13">
        <v>905</v>
      </c>
      <c r="C96" s="14" t="s">
        <v>123</v>
      </c>
      <c r="D96" s="6" t="s">
        <v>116</v>
      </c>
      <c r="E96" s="14" t="s">
        <v>376</v>
      </c>
      <c r="F96" s="14" t="s">
        <v>50</v>
      </c>
      <c r="G96" s="72">
        <v>0</v>
      </c>
      <c r="H96" s="116"/>
      <c r="I96" s="117"/>
      <c r="J96" s="116"/>
      <c r="K96" s="80"/>
      <c r="L96" s="79"/>
      <c r="M96" s="79"/>
      <c r="AG96" s="79"/>
      <c r="AH96" s="79"/>
      <c r="DT96" s="99">
        <f t="shared" si="1"/>
        <v>0</v>
      </c>
    </row>
    <row r="97" spans="1:124" ht="106.5" hidden="1" customHeight="1" x14ac:dyDescent="0.3">
      <c r="A97" s="143" t="s">
        <v>56</v>
      </c>
      <c r="B97" s="13">
        <v>905</v>
      </c>
      <c r="C97" s="14" t="s">
        <v>123</v>
      </c>
      <c r="D97" s="6" t="s">
        <v>116</v>
      </c>
      <c r="E97" s="14" t="s">
        <v>376</v>
      </c>
      <c r="F97" s="14" t="s">
        <v>57</v>
      </c>
      <c r="G97" s="72">
        <v>0</v>
      </c>
      <c r="H97" s="116"/>
      <c r="I97" s="117"/>
      <c r="J97" s="116"/>
      <c r="K97" s="80"/>
      <c r="L97" s="79"/>
      <c r="M97" s="79"/>
      <c r="AG97" s="79">
        <v>305</v>
      </c>
      <c r="AH97" s="79"/>
      <c r="AP97" s="151">
        <v>6.1</v>
      </c>
      <c r="DT97" s="99">
        <f t="shared" si="1"/>
        <v>0</v>
      </c>
    </row>
    <row r="98" spans="1:124" ht="50.25" customHeight="1" x14ac:dyDescent="0.3">
      <c r="A98" s="143" t="s">
        <v>264</v>
      </c>
      <c r="B98" s="13">
        <v>905</v>
      </c>
      <c r="C98" s="14" t="s">
        <v>123</v>
      </c>
      <c r="D98" s="6" t="s">
        <v>116</v>
      </c>
      <c r="E98" s="14" t="s">
        <v>376</v>
      </c>
      <c r="F98" s="14" t="s">
        <v>261</v>
      </c>
      <c r="G98" s="72">
        <f>DT98</f>
        <v>685</v>
      </c>
      <c r="H98" s="116">
        <v>332.9</v>
      </c>
      <c r="I98" s="117"/>
      <c r="J98" s="116"/>
      <c r="K98" s="80"/>
      <c r="L98" s="79">
        <v>733.5</v>
      </c>
      <c r="M98" s="79"/>
      <c r="AG98" s="79"/>
      <c r="AH98" s="79"/>
      <c r="AN98" s="150">
        <v>0.1</v>
      </c>
      <c r="BM98" s="100">
        <v>727.8</v>
      </c>
      <c r="CS98" s="264">
        <v>304.5</v>
      </c>
      <c r="DQ98" s="99">
        <v>685</v>
      </c>
      <c r="DT98" s="99">
        <f t="shared" si="1"/>
        <v>685</v>
      </c>
    </row>
    <row r="99" spans="1:124" ht="35.25" customHeight="1" x14ac:dyDescent="0.3">
      <c r="A99" s="143" t="s">
        <v>60</v>
      </c>
      <c r="B99" s="13">
        <v>905</v>
      </c>
      <c r="C99" s="14" t="s">
        <v>123</v>
      </c>
      <c r="D99" s="6" t="s">
        <v>116</v>
      </c>
      <c r="E99" s="14" t="s">
        <v>376</v>
      </c>
      <c r="F99" s="14" t="s">
        <v>61</v>
      </c>
      <c r="G99" s="57">
        <f>DT99</f>
        <v>201.3</v>
      </c>
      <c r="H99" s="125"/>
      <c r="I99" s="126"/>
      <c r="J99" s="125"/>
      <c r="K99" s="80"/>
      <c r="L99" s="79"/>
      <c r="M99" s="79"/>
      <c r="AG99" s="79"/>
      <c r="AH99" s="79"/>
      <c r="AK99" s="79">
        <v>469.7</v>
      </c>
      <c r="DQ99" s="99">
        <v>201.3</v>
      </c>
      <c r="DT99" s="99">
        <f t="shared" si="1"/>
        <v>201.3</v>
      </c>
    </row>
    <row r="100" spans="1:124" ht="86.25" hidden="1" customHeight="1" x14ac:dyDescent="0.3">
      <c r="A100" s="156" t="s">
        <v>249</v>
      </c>
      <c r="B100" s="13">
        <v>905</v>
      </c>
      <c r="C100" s="14" t="s">
        <v>123</v>
      </c>
      <c r="D100" s="6" t="s">
        <v>116</v>
      </c>
      <c r="E100" s="14" t="s">
        <v>869</v>
      </c>
      <c r="F100" s="14" t="s">
        <v>50</v>
      </c>
      <c r="G100" s="72">
        <f>G101</f>
        <v>0</v>
      </c>
      <c r="H100" s="116"/>
      <c r="I100" s="117"/>
      <c r="J100" s="116"/>
      <c r="K100" s="80"/>
      <c r="L100" s="79"/>
      <c r="M100" s="79"/>
      <c r="AG100" s="79"/>
      <c r="AH100" s="79"/>
      <c r="DT100" s="99">
        <f t="shared" si="1"/>
        <v>0</v>
      </c>
    </row>
    <row r="101" spans="1:124" ht="99" hidden="1" customHeight="1" x14ac:dyDescent="0.3">
      <c r="A101" s="143" t="s">
        <v>868</v>
      </c>
      <c r="B101" s="13">
        <v>905</v>
      </c>
      <c r="C101" s="14" t="s">
        <v>123</v>
      </c>
      <c r="D101" s="6" t="s">
        <v>116</v>
      </c>
      <c r="E101" s="14" t="s">
        <v>870</v>
      </c>
      <c r="F101" s="14" t="s">
        <v>50</v>
      </c>
      <c r="G101" s="72">
        <f>G103+G102</f>
        <v>0</v>
      </c>
      <c r="H101" s="116"/>
      <c r="I101" s="117"/>
      <c r="J101" s="116"/>
      <c r="K101" s="80"/>
      <c r="L101" s="79"/>
      <c r="M101" s="79"/>
      <c r="AG101" s="79"/>
      <c r="AH101" s="79"/>
      <c r="DT101" s="99">
        <f t="shared" si="1"/>
        <v>0</v>
      </c>
    </row>
    <row r="102" spans="1:124" ht="54" hidden="1" customHeight="1" x14ac:dyDescent="0.3">
      <c r="A102" s="143" t="s">
        <v>425</v>
      </c>
      <c r="B102" s="13">
        <v>905</v>
      </c>
      <c r="C102" s="14" t="s">
        <v>123</v>
      </c>
      <c r="D102" s="6" t="s">
        <v>116</v>
      </c>
      <c r="E102" s="14" t="s">
        <v>870</v>
      </c>
      <c r="F102" s="14" t="s">
        <v>59</v>
      </c>
      <c r="G102" s="72">
        <v>0</v>
      </c>
      <c r="H102" s="116"/>
      <c r="I102" s="117"/>
      <c r="J102" s="116"/>
      <c r="K102" s="80"/>
      <c r="L102" s="79"/>
      <c r="M102" s="79"/>
      <c r="AG102" s="79"/>
      <c r="AH102" s="79"/>
      <c r="AP102" s="151">
        <v>905.8</v>
      </c>
      <c r="BE102" s="226">
        <v>39.6</v>
      </c>
      <c r="BT102" s="151">
        <v>400</v>
      </c>
      <c r="DB102" s="194">
        <v>-553.20000000000005</v>
      </c>
      <c r="DG102" s="194">
        <v>-130.6</v>
      </c>
      <c r="DT102" s="99">
        <f t="shared" si="1"/>
        <v>0</v>
      </c>
    </row>
    <row r="103" spans="1:124" ht="38.25" hidden="1" customHeight="1" x14ac:dyDescent="0.3">
      <c r="A103" s="143" t="s">
        <v>264</v>
      </c>
      <c r="B103" s="13">
        <v>905</v>
      </c>
      <c r="C103" s="14" t="s">
        <v>123</v>
      </c>
      <c r="D103" s="6" t="s">
        <v>116</v>
      </c>
      <c r="E103" s="14" t="s">
        <v>870</v>
      </c>
      <c r="F103" s="14" t="s">
        <v>261</v>
      </c>
      <c r="G103" s="72">
        <v>0</v>
      </c>
      <c r="H103" s="116"/>
      <c r="I103" s="117"/>
      <c r="J103" s="116"/>
      <c r="K103" s="80"/>
      <c r="L103" s="79"/>
      <c r="M103" s="79"/>
      <c r="X103">
        <v>2020</v>
      </c>
      <c r="AG103" s="79"/>
      <c r="AH103" s="79"/>
      <c r="AK103" s="79">
        <v>0</v>
      </c>
      <c r="AO103" s="150">
        <v>5147.2</v>
      </c>
      <c r="AP103" s="151">
        <v>792</v>
      </c>
      <c r="DT103" s="99">
        <f t="shared" si="1"/>
        <v>0</v>
      </c>
    </row>
    <row r="104" spans="1:124" ht="119.25" hidden="1" customHeight="1" x14ac:dyDescent="0.3">
      <c r="A104" s="143" t="s">
        <v>417</v>
      </c>
      <c r="B104" s="13">
        <v>905</v>
      </c>
      <c r="C104" s="14" t="s">
        <v>123</v>
      </c>
      <c r="D104" s="6" t="s">
        <v>116</v>
      </c>
      <c r="E104" s="14" t="s">
        <v>871</v>
      </c>
      <c r="F104" s="14" t="s">
        <v>50</v>
      </c>
      <c r="G104" s="72">
        <f>G106+G105</f>
        <v>0</v>
      </c>
      <c r="H104" s="116"/>
      <c r="I104" s="117"/>
      <c r="J104" s="116"/>
      <c r="K104" s="80"/>
      <c r="L104" s="79"/>
      <c r="M104" s="79"/>
      <c r="AG104" s="79"/>
      <c r="AH104" s="79"/>
      <c r="DT104" s="99">
        <f t="shared" si="1"/>
        <v>0</v>
      </c>
    </row>
    <row r="105" spans="1:124" ht="57" hidden="1" customHeight="1" x14ac:dyDescent="0.3">
      <c r="A105" s="143" t="s">
        <v>425</v>
      </c>
      <c r="B105" s="13">
        <v>905</v>
      </c>
      <c r="C105" s="14" t="s">
        <v>123</v>
      </c>
      <c r="D105" s="6" t="s">
        <v>116</v>
      </c>
      <c r="E105" s="14" t="s">
        <v>871</v>
      </c>
      <c r="F105" s="14" t="s">
        <v>59</v>
      </c>
      <c r="G105" s="72">
        <v>0</v>
      </c>
      <c r="H105" s="116"/>
      <c r="I105" s="117"/>
      <c r="J105" s="116"/>
      <c r="K105" s="80"/>
      <c r="L105" s="79"/>
      <c r="M105" s="79"/>
      <c r="AG105" s="79"/>
      <c r="AH105" s="79"/>
      <c r="AQ105" s="151">
        <v>9.1999999999999993</v>
      </c>
      <c r="BE105" s="226">
        <v>0.6</v>
      </c>
      <c r="BU105" s="151">
        <v>4.3</v>
      </c>
      <c r="DT105" s="99">
        <f t="shared" si="1"/>
        <v>0</v>
      </c>
    </row>
    <row r="106" spans="1:124" ht="47.25" hidden="1" customHeight="1" x14ac:dyDescent="0.3">
      <c r="A106" s="143" t="s">
        <v>264</v>
      </c>
      <c r="B106" s="13">
        <v>905</v>
      </c>
      <c r="C106" s="14" t="s">
        <v>123</v>
      </c>
      <c r="D106" s="6" t="s">
        <v>116</v>
      </c>
      <c r="E106" s="14" t="s">
        <v>871</v>
      </c>
      <c r="F106" s="14" t="s">
        <v>261</v>
      </c>
      <c r="G106" s="72">
        <v>0</v>
      </c>
      <c r="H106" s="116"/>
      <c r="I106" s="117"/>
      <c r="J106" s="116"/>
      <c r="K106" s="80"/>
      <c r="L106" s="79"/>
      <c r="M106" s="79"/>
      <c r="Y106">
        <v>20.5</v>
      </c>
      <c r="AG106" s="79"/>
      <c r="AH106" s="79"/>
      <c r="AK106" s="79">
        <v>0</v>
      </c>
      <c r="AN106" s="150">
        <v>52</v>
      </c>
      <c r="AQ106" s="151">
        <v>8</v>
      </c>
      <c r="DT106" s="99">
        <f t="shared" si="1"/>
        <v>0</v>
      </c>
    </row>
    <row r="107" spans="1:124" ht="75" hidden="1" x14ac:dyDescent="0.3">
      <c r="A107" s="143" t="s">
        <v>173</v>
      </c>
      <c r="B107" s="13">
        <v>905</v>
      </c>
      <c r="C107" s="14" t="s">
        <v>123</v>
      </c>
      <c r="D107" s="6" t="s">
        <v>116</v>
      </c>
      <c r="E107" s="14" t="s">
        <v>848</v>
      </c>
      <c r="F107" s="14" t="s">
        <v>50</v>
      </c>
      <c r="G107" s="72">
        <f>G108</f>
        <v>521.6</v>
      </c>
      <c r="H107" s="116"/>
      <c r="I107" s="117"/>
      <c r="J107" s="116"/>
      <c r="K107" s="80"/>
      <c r="L107" s="79"/>
      <c r="M107" s="79"/>
      <c r="AG107" s="79"/>
      <c r="AH107" s="79"/>
      <c r="DT107" s="99">
        <f t="shared" si="1"/>
        <v>0</v>
      </c>
    </row>
    <row r="108" spans="1:124" ht="154.5" customHeight="1" x14ac:dyDescent="0.3">
      <c r="A108" s="143" t="s">
        <v>519</v>
      </c>
      <c r="B108" s="13">
        <v>905</v>
      </c>
      <c r="C108" s="14" t="s">
        <v>123</v>
      </c>
      <c r="D108" s="6" t="s">
        <v>116</v>
      </c>
      <c r="E108" s="113" t="s">
        <v>1168</v>
      </c>
      <c r="F108" s="14" t="s">
        <v>50</v>
      </c>
      <c r="G108" s="72">
        <f>G110+G109+G111</f>
        <v>521.6</v>
      </c>
      <c r="H108" s="116"/>
      <c r="I108" s="117"/>
      <c r="J108" s="116"/>
      <c r="K108" s="80"/>
      <c r="L108" s="79"/>
      <c r="M108" s="79"/>
      <c r="AG108" s="79"/>
      <c r="AH108" s="79"/>
      <c r="DT108" s="99">
        <f t="shared" si="1"/>
        <v>0</v>
      </c>
    </row>
    <row r="109" spans="1:124" ht="92.25" customHeight="1" x14ac:dyDescent="0.3">
      <c r="A109" s="143" t="s">
        <v>56</v>
      </c>
      <c r="B109" s="13">
        <v>905</v>
      </c>
      <c r="C109" s="14" t="s">
        <v>123</v>
      </c>
      <c r="D109" s="6" t="s">
        <v>116</v>
      </c>
      <c r="E109" s="113" t="s">
        <v>1168</v>
      </c>
      <c r="F109" s="14" t="s">
        <v>57</v>
      </c>
      <c r="G109" s="57">
        <f>DT109</f>
        <v>521.6</v>
      </c>
      <c r="H109" s="125"/>
      <c r="I109" s="126">
        <v>510.1</v>
      </c>
      <c r="J109" s="125"/>
      <c r="K109" s="80"/>
      <c r="L109" s="79"/>
      <c r="M109" s="79"/>
      <c r="W109">
        <v>142.5</v>
      </c>
      <c r="Z109">
        <v>-1.411</v>
      </c>
      <c r="AG109" s="79">
        <v>-27.2</v>
      </c>
      <c r="AH109" s="79">
        <f>-26.61528-18.10854-4.38044+53.91683</f>
        <v>4.8125699999999938</v>
      </c>
      <c r="AK109" s="79">
        <v>253.3</v>
      </c>
      <c r="BH109" s="233">
        <v>-32.9</v>
      </c>
      <c r="BJ109" s="194">
        <v>-9.9358000000000004</v>
      </c>
      <c r="BO109" s="238">
        <v>514.4</v>
      </c>
      <c r="CP109" s="259">
        <v>-128.11680000000001</v>
      </c>
      <c r="CQ109" s="99">
        <v>519.70000000000005</v>
      </c>
      <c r="DJ109" s="273">
        <v>-86.874650000000003</v>
      </c>
      <c r="DN109" s="274">
        <v>521.6</v>
      </c>
      <c r="DT109" s="99">
        <f t="shared" si="1"/>
        <v>521.6</v>
      </c>
    </row>
    <row r="110" spans="1:124" ht="37.5" hidden="1" x14ac:dyDescent="0.3">
      <c r="A110" s="143" t="s">
        <v>425</v>
      </c>
      <c r="B110" s="13">
        <v>905</v>
      </c>
      <c r="C110" s="14" t="s">
        <v>123</v>
      </c>
      <c r="D110" s="6" t="s">
        <v>116</v>
      </c>
      <c r="E110" s="113" t="s">
        <v>1168</v>
      </c>
      <c r="F110" s="14" t="s">
        <v>59</v>
      </c>
      <c r="G110" s="72">
        <v>0</v>
      </c>
      <c r="H110" s="116"/>
      <c r="I110" s="117"/>
      <c r="J110" s="116"/>
      <c r="K110" s="80"/>
      <c r="L110" s="79"/>
      <c r="M110" s="79"/>
      <c r="W110">
        <v>-199.4</v>
      </c>
      <c r="Z110">
        <v>1.411</v>
      </c>
      <c r="AG110" s="79"/>
      <c r="AH110" s="79">
        <f>-0.44598-0.26352</f>
        <v>-0.70950000000000002</v>
      </c>
      <c r="AK110" s="79">
        <v>0</v>
      </c>
      <c r="DT110" s="99">
        <f t="shared" si="1"/>
        <v>0</v>
      </c>
    </row>
    <row r="111" spans="1:124" ht="56.25" hidden="1" x14ac:dyDescent="0.3">
      <c r="A111" s="143" t="s">
        <v>264</v>
      </c>
      <c r="B111" s="13">
        <v>905</v>
      </c>
      <c r="C111" s="14" t="s">
        <v>123</v>
      </c>
      <c r="D111" s="6" t="s">
        <v>116</v>
      </c>
      <c r="E111" s="113" t="s">
        <v>1168</v>
      </c>
      <c r="F111" s="14" t="s">
        <v>261</v>
      </c>
      <c r="G111" s="72">
        <v>0</v>
      </c>
      <c r="H111" s="116"/>
      <c r="I111" s="117"/>
      <c r="J111" s="116"/>
      <c r="K111" s="80"/>
      <c r="L111" s="79"/>
      <c r="M111" s="79"/>
      <c r="W111">
        <v>56.9</v>
      </c>
      <c r="AG111" s="79"/>
      <c r="AH111" s="79">
        <f>-3.49366-0.60941</f>
        <v>-4.1030700000000007</v>
      </c>
      <c r="AK111" s="79">
        <v>0</v>
      </c>
      <c r="BH111" s="233">
        <v>32.9</v>
      </c>
      <c r="BJ111" s="194">
        <v>9.9358000000000004</v>
      </c>
      <c r="CP111" s="259">
        <v>128.11680000000001</v>
      </c>
      <c r="DJ111" s="273">
        <v>86.874650000000003</v>
      </c>
      <c r="DT111" s="99">
        <f t="shared" si="1"/>
        <v>0</v>
      </c>
    </row>
    <row r="112" spans="1:124" x14ac:dyDescent="0.3">
      <c r="A112" s="143" t="s">
        <v>62</v>
      </c>
      <c r="B112" s="13">
        <v>905</v>
      </c>
      <c r="C112" s="14" t="s">
        <v>123</v>
      </c>
      <c r="D112" s="6" t="s">
        <v>116</v>
      </c>
      <c r="E112" s="14" t="s">
        <v>63</v>
      </c>
      <c r="F112" s="14" t="s">
        <v>50</v>
      </c>
      <c r="G112" s="57">
        <f>G113+G115+G118</f>
        <v>513.29999999999995</v>
      </c>
      <c r="H112" s="116"/>
      <c r="I112" s="117"/>
      <c r="J112" s="116"/>
      <c r="K112" s="80"/>
      <c r="L112" s="79"/>
      <c r="M112" s="79"/>
      <c r="AG112" s="79"/>
      <c r="AH112" s="79"/>
      <c r="DT112" s="99">
        <f t="shared" si="1"/>
        <v>0</v>
      </c>
    </row>
    <row r="113" spans="1:124" ht="75" hidden="1" x14ac:dyDescent="0.3">
      <c r="A113" s="143" t="s">
        <v>536</v>
      </c>
      <c r="B113" s="13">
        <v>905</v>
      </c>
      <c r="C113" s="14" t="s">
        <v>123</v>
      </c>
      <c r="D113" s="6" t="s">
        <v>116</v>
      </c>
      <c r="E113" s="14" t="s">
        <v>149</v>
      </c>
      <c r="F113" s="14" t="s">
        <v>50</v>
      </c>
      <c r="G113" s="57">
        <f>G114+T113</f>
        <v>0</v>
      </c>
      <c r="H113" s="116"/>
      <c r="I113" s="117"/>
      <c r="J113" s="116"/>
      <c r="K113" s="80"/>
      <c r="L113" s="79"/>
      <c r="M113" s="79"/>
      <c r="AG113" s="79"/>
      <c r="AH113" s="79"/>
      <c r="DT113" s="99">
        <f t="shared" si="1"/>
        <v>0</v>
      </c>
    </row>
    <row r="114" spans="1:124" ht="37.5" hidden="1" x14ac:dyDescent="0.3">
      <c r="A114" s="143" t="s">
        <v>425</v>
      </c>
      <c r="B114" s="13">
        <v>905</v>
      </c>
      <c r="C114" s="14" t="s">
        <v>123</v>
      </c>
      <c r="D114" s="6" t="s">
        <v>116</v>
      </c>
      <c r="E114" s="14" t="s">
        <v>149</v>
      </c>
      <c r="F114" s="14" t="s">
        <v>59</v>
      </c>
      <c r="G114" s="72">
        <v>0</v>
      </c>
      <c r="H114" s="116"/>
      <c r="I114" s="117"/>
      <c r="J114" s="116"/>
      <c r="K114" s="80"/>
      <c r="L114" s="79"/>
      <c r="M114" s="79"/>
      <c r="T114">
        <v>-25</v>
      </c>
      <c r="AG114" s="79"/>
      <c r="AH114" s="79"/>
      <c r="AK114" s="79">
        <v>0</v>
      </c>
      <c r="DT114" s="99">
        <f t="shared" si="1"/>
        <v>0</v>
      </c>
    </row>
    <row r="115" spans="1:124" ht="26.25" customHeight="1" x14ac:dyDescent="0.3">
      <c r="A115" s="143" t="s">
        <v>75</v>
      </c>
      <c r="B115" s="13">
        <v>905</v>
      </c>
      <c r="C115" s="14" t="s">
        <v>123</v>
      </c>
      <c r="D115" s="6" t="s">
        <v>116</v>
      </c>
      <c r="E115" s="14" t="s">
        <v>40</v>
      </c>
      <c r="F115" s="14" t="s">
        <v>50</v>
      </c>
      <c r="G115" s="57">
        <f>G117+G116</f>
        <v>513.29999999999995</v>
      </c>
      <c r="H115" s="116"/>
      <c r="I115" s="117"/>
      <c r="J115" s="116"/>
      <c r="K115" s="80"/>
      <c r="L115" s="79"/>
      <c r="M115" s="79"/>
      <c r="AG115" s="79"/>
      <c r="AH115" s="79"/>
      <c r="DT115" s="99">
        <f t="shared" si="1"/>
        <v>0</v>
      </c>
    </row>
    <row r="116" spans="1:124" ht="129" customHeight="1" x14ac:dyDescent="0.3">
      <c r="A116" s="143" t="s">
        <v>56</v>
      </c>
      <c r="B116" s="13">
        <v>905</v>
      </c>
      <c r="C116" s="14" t="s">
        <v>123</v>
      </c>
      <c r="D116" s="6" t="s">
        <v>116</v>
      </c>
      <c r="E116" s="14" t="s">
        <v>40</v>
      </c>
      <c r="F116" s="14" t="s">
        <v>57</v>
      </c>
      <c r="G116" s="57">
        <v>513.29999999999995</v>
      </c>
      <c r="H116" s="116"/>
      <c r="I116" s="117"/>
      <c r="J116" s="116"/>
      <c r="K116" s="80"/>
      <c r="L116" s="79"/>
      <c r="M116" s="79"/>
      <c r="AG116" s="79"/>
      <c r="AH116" s="79"/>
      <c r="CP116" s="259">
        <v>62.101410000000001</v>
      </c>
      <c r="CS116" s="264">
        <v>157.19999999999999</v>
      </c>
      <c r="DM116" s="194">
        <v>44.892000000000003</v>
      </c>
      <c r="DT116" s="99">
        <f t="shared" si="1"/>
        <v>0</v>
      </c>
    </row>
    <row r="117" spans="1:124" ht="37.5" x14ac:dyDescent="0.3">
      <c r="A117" s="143" t="s">
        <v>425</v>
      </c>
      <c r="B117" s="13">
        <v>905</v>
      </c>
      <c r="C117" s="14" t="s">
        <v>123</v>
      </c>
      <c r="D117" s="6" t="s">
        <v>116</v>
      </c>
      <c r="E117" s="14" t="s">
        <v>40</v>
      </c>
      <c r="F117" s="14" t="s">
        <v>59</v>
      </c>
      <c r="G117" s="57">
        <v>0</v>
      </c>
      <c r="H117" s="125">
        <v>514.6</v>
      </c>
      <c r="I117" s="126"/>
      <c r="J117" s="125"/>
      <c r="K117" s="80"/>
      <c r="L117" s="79"/>
      <c r="M117" s="79"/>
      <c r="AE117">
        <v>5.65</v>
      </c>
      <c r="AG117" s="79"/>
      <c r="AH117" s="79">
        <v>5.65</v>
      </c>
      <c r="AK117" s="79">
        <v>540.5</v>
      </c>
      <c r="BL117" s="194">
        <v>34.799999999999997</v>
      </c>
      <c r="BM117" s="100">
        <v>384.2</v>
      </c>
      <c r="CP117" s="259">
        <f>100+-62.10141</f>
        <v>37.898589999999999</v>
      </c>
      <c r="CS117" s="264">
        <v>209.8</v>
      </c>
      <c r="DD117" s="194">
        <v>45.5</v>
      </c>
      <c r="DL117" s="270">
        <v>34.024000000000001</v>
      </c>
      <c r="DM117" s="194">
        <v>-44.892000000000003</v>
      </c>
      <c r="DR117" s="99">
        <f>196.6+152.6+164.1</f>
        <v>513.29999999999995</v>
      </c>
      <c r="DT117" s="99">
        <f t="shared" si="1"/>
        <v>513.29999999999995</v>
      </c>
    </row>
    <row r="118" spans="1:124" ht="28.5" hidden="1" customHeight="1" outlineLevel="1" x14ac:dyDescent="0.3">
      <c r="A118" s="143" t="s">
        <v>64</v>
      </c>
      <c r="B118" s="13">
        <v>905</v>
      </c>
      <c r="C118" s="14" t="s">
        <v>123</v>
      </c>
      <c r="D118" s="6" t="s">
        <v>116</v>
      </c>
      <c r="E118" s="14" t="s">
        <v>65</v>
      </c>
      <c r="F118" s="14" t="s">
        <v>50</v>
      </c>
      <c r="G118" s="57">
        <f>G119+G120</f>
        <v>0</v>
      </c>
      <c r="H118" s="116"/>
      <c r="I118" s="117"/>
      <c r="J118" s="116"/>
      <c r="K118" s="80"/>
      <c r="L118" s="79"/>
      <c r="M118" s="79"/>
      <c r="AG118" s="79"/>
      <c r="AH118" s="79"/>
      <c r="DT118" s="99">
        <f t="shared" si="1"/>
        <v>0</v>
      </c>
    </row>
    <row r="119" spans="1:124" ht="37.5" hidden="1" outlineLevel="1" x14ac:dyDescent="0.3">
      <c r="A119" s="143" t="s">
        <v>58</v>
      </c>
      <c r="B119" s="13">
        <v>905</v>
      </c>
      <c r="C119" s="14" t="s">
        <v>123</v>
      </c>
      <c r="D119" s="6" t="s">
        <v>116</v>
      </c>
      <c r="E119" s="14" t="s">
        <v>65</v>
      </c>
      <c r="F119" s="14" t="s">
        <v>59</v>
      </c>
      <c r="G119" s="57">
        <v>0</v>
      </c>
      <c r="H119" s="116"/>
      <c r="I119" s="117"/>
      <c r="J119" s="116"/>
      <c r="K119" s="80"/>
      <c r="L119" s="79"/>
      <c r="M119" s="79"/>
      <c r="AG119" s="79"/>
      <c r="AH119" s="79"/>
      <c r="CJ119" s="194">
        <v>20</v>
      </c>
      <c r="CV119" s="268">
        <v>2.4</v>
      </c>
      <c r="DT119" s="99">
        <f t="shared" si="1"/>
        <v>0</v>
      </c>
    </row>
    <row r="120" spans="1:124" hidden="1" outlineLevel="1" x14ac:dyDescent="0.3">
      <c r="A120" s="143" t="s">
        <v>60</v>
      </c>
      <c r="B120" s="13">
        <v>905</v>
      </c>
      <c r="C120" s="14" t="s">
        <v>123</v>
      </c>
      <c r="D120" s="6" t="s">
        <v>116</v>
      </c>
      <c r="E120" s="14" t="s">
        <v>65</v>
      </c>
      <c r="F120" s="14" t="s">
        <v>61</v>
      </c>
      <c r="G120" s="57"/>
      <c r="H120" s="116"/>
      <c r="I120" s="117"/>
      <c r="J120" s="116"/>
      <c r="K120" s="80"/>
      <c r="L120" s="79"/>
      <c r="M120" s="79"/>
      <c r="AG120" s="79"/>
      <c r="AH120" s="79"/>
      <c r="DT120" s="99">
        <f t="shared" si="1"/>
        <v>0</v>
      </c>
    </row>
    <row r="121" spans="1:124" ht="37.5" hidden="1" x14ac:dyDescent="0.3">
      <c r="A121" s="165" t="s">
        <v>633</v>
      </c>
      <c r="B121" s="13">
        <v>905</v>
      </c>
      <c r="C121" s="14" t="s">
        <v>123</v>
      </c>
      <c r="D121" s="6" t="s">
        <v>116</v>
      </c>
      <c r="E121" s="14" t="s">
        <v>634</v>
      </c>
      <c r="F121" s="14" t="s">
        <v>50</v>
      </c>
      <c r="G121" s="57">
        <f>G122</f>
        <v>0</v>
      </c>
      <c r="H121" s="116"/>
      <c r="I121" s="117"/>
      <c r="J121" s="116"/>
      <c r="K121" s="80"/>
      <c r="L121" s="79"/>
      <c r="M121" s="79"/>
      <c r="AG121" s="79"/>
      <c r="AH121" s="79"/>
      <c r="DT121" s="99">
        <f t="shared" si="1"/>
        <v>0</v>
      </c>
    </row>
    <row r="122" spans="1:124" hidden="1" x14ac:dyDescent="0.3">
      <c r="A122" s="165" t="s">
        <v>637</v>
      </c>
      <c r="B122" s="13">
        <v>905</v>
      </c>
      <c r="C122" s="14" t="s">
        <v>123</v>
      </c>
      <c r="D122" s="6" t="s">
        <v>116</v>
      </c>
      <c r="E122" s="14" t="s">
        <v>638</v>
      </c>
      <c r="F122" s="14" t="s">
        <v>50</v>
      </c>
      <c r="G122" s="57">
        <f>G123</f>
        <v>0</v>
      </c>
      <c r="H122" s="116"/>
      <c r="I122" s="117"/>
      <c r="J122" s="116"/>
      <c r="K122" s="80"/>
      <c r="L122" s="79"/>
      <c r="M122" s="79"/>
      <c r="AG122" s="79"/>
      <c r="AH122" s="79"/>
      <c r="DT122" s="99">
        <f t="shared" si="1"/>
        <v>0</v>
      </c>
    </row>
    <row r="123" spans="1:124" ht="75" hidden="1" x14ac:dyDescent="0.3">
      <c r="A123" s="156" t="s">
        <v>249</v>
      </c>
      <c r="B123" s="13">
        <v>905</v>
      </c>
      <c r="C123" s="14" t="s">
        <v>123</v>
      </c>
      <c r="D123" s="6" t="s">
        <v>116</v>
      </c>
      <c r="E123" s="14" t="s">
        <v>639</v>
      </c>
      <c r="F123" s="14" t="s">
        <v>50</v>
      </c>
      <c r="G123" s="57">
        <f>G124</f>
        <v>0</v>
      </c>
      <c r="H123" s="116"/>
      <c r="I123" s="117"/>
      <c r="J123" s="116"/>
      <c r="K123" s="80"/>
      <c r="L123" s="79"/>
      <c r="M123" s="79"/>
      <c r="AG123" s="79"/>
      <c r="AH123" s="79"/>
      <c r="DT123" s="99">
        <f t="shared" si="1"/>
        <v>0</v>
      </c>
    </row>
    <row r="124" spans="1:124" ht="99" hidden="1" customHeight="1" x14ac:dyDescent="0.3">
      <c r="A124" s="143" t="s">
        <v>622</v>
      </c>
      <c r="B124" s="13">
        <v>905</v>
      </c>
      <c r="C124" s="14" t="s">
        <v>123</v>
      </c>
      <c r="D124" s="6" t="s">
        <v>116</v>
      </c>
      <c r="E124" s="14" t="s">
        <v>623</v>
      </c>
      <c r="F124" s="14" t="s">
        <v>50</v>
      </c>
      <c r="G124" s="72">
        <f>G125</f>
        <v>0</v>
      </c>
      <c r="H124" s="116"/>
      <c r="I124" s="117"/>
      <c r="J124" s="116"/>
      <c r="K124" s="80"/>
      <c r="L124" s="79"/>
      <c r="M124" s="79"/>
      <c r="AG124" s="79"/>
      <c r="AH124" s="79"/>
      <c r="DT124" s="99">
        <f t="shared" si="1"/>
        <v>0</v>
      </c>
    </row>
    <row r="125" spans="1:124" ht="41.25" hidden="1" customHeight="1" x14ac:dyDescent="0.3">
      <c r="A125" s="143" t="s">
        <v>425</v>
      </c>
      <c r="B125" s="13">
        <v>905</v>
      </c>
      <c r="C125" s="14" t="s">
        <v>123</v>
      </c>
      <c r="D125" s="6" t="s">
        <v>116</v>
      </c>
      <c r="E125" s="14" t="s">
        <v>623</v>
      </c>
      <c r="F125" s="14" t="s">
        <v>59</v>
      </c>
      <c r="G125" s="72">
        <v>0</v>
      </c>
      <c r="H125" s="116"/>
      <c r="I125" s="117"/>
      <c r="J125" s="116"/>
      <c r="K125" s="80"/>
      <c r="L125" s="79"/>
      <c r="M125" s="79"/>
      <c r="AG125" s="79"/>
      <c r="AH125" s="79"/>
      <c r="AK125" s="79">
        <v>0</v>
      </c>
      <c r="DT125" s="99">
        <f t="shared" si="1"/>
        <v>0</v>
      </c>
    </row>
    <row r="126" spans="1:124" ht="120.75" hidden="1" customHeight="1" x14ac:dyDescent="0.3">
      <c r="A126" s="143" t="s">
        <v>636</v>
      </c>
      <c r="B126" s="13">
        <v>905</v>
      </c>
      <c r="C126" s="14" t="s">
        <v>123</v>
      </c>
      <c r="D126" s="6" t="s">
        <v>116</v>
      </c>
      <c r="E126" s="14" t="s">
        <v>641</v>
      </c>
      <c r="F126" s="14" t="s">
        <v>50</v>
      </c>
      <c r="G126" s="57">
        <f>G127</f>
        <v>0</v>
      </c>
      <c r="H126" s="116"/>
      <c r="I126" s="117"/>
      <c r="J126" s="116"/>
      <c r="K126" s="80"/>
      <c r="L126" s="79"/>
      <c r="M126" s="79"/>
      <c r="AG126" s="79"/>
      <c r="AH126" s="79"/>
      <c r="DT126" s="99">
        <f t="shared" si="1"/>
        <v>0</v>
      </c>
    </row>
    <row r="127" spans="1:124" ht="37.5" hidden="1" x14ac:dyDescent="0.3">
      <c r="A127" s="143" t="s">
        <v>425</v>
      </c>
      <c r="B127" s="13">
        <v>905</v>
      </c>
      <c r="C127" s="14" t="s">
        <v>123</v>
      </c>
      <c r="D127" s="6" t="s">
        <v>116</v>
      </c>
      <c r="E127" s="14" t="s">
        <v>641</v>
      </c>
      <c r="F127" s="14" t="s">
        <v>59</v>
      </c>
      <c r="G127" s="57">
        <v>0</v>
      </c>
      <c r="H127" s="116"/>
      <c r="I127" s="117"/>
      <c r="J127" s="116"/>
      <c r="K127" s="80"/>
      <c r="L127" s="79"/>
      <c r="M127" s="79"/>
      <c r="AG127" s="79"/>
      <c r="AH127" s="79"/>
      <c r="AK127" s="79">
        <v>0</v>
      </c>
      <c r="DT127" s="99">
        <f t="shared" si="1"/>
        <v>0</v>
      </c>
    </row>
    <row r="128" spans="1:124" ht="37.5" hidden="1" x14ac:dyDescent="0.3">
      <c r="A128" s="143" t="s">
        <v>68</v>
      </c>
      <c r="B128" s="13">
        <v>905</v>
      </c>
      <c r="C128" s="14" t="s">
        <v>123</v>
      </c>
      <c r="D128" s="6" t="s">
        <v>116</v>
      </c>
      <c r="E128" s="14" t="s">
        <v>846</v>
      </c>
      <c r="F128" s="14" t="s">
        <v>50</v>
      </c>
      <c r="G128" s="57">
        <f>G129+G138+G135+G140+G143</f>
        <v>205236.7</v>
      </c>
      <c r="H128" s="116"/>
      <c r="I128" s="117"/>
      <c r="J128" s="116"/>
      <c r="K128" s="80"/>
      <c r="L128" s="79"/>
      <c r="M128" s="79"/>
      <c r="AG128" s="79"/>
      <c r="AH128" s="79"/>
      <c r="DT128" s="99">
        <f t="shared" si="1"/>
        <v>0</v>
      </c>
    </row>
    <row r="129" spans="1:124" ht="94.5" customHeight="1" x14ac:dyDescent="0.3">
      <c r="A129" s="143" t="s">
        <v>76</v>
      </c>
      <c r="B129" s="13">
        <v>905</v>
      </c>
      <c r="C129" s="14" t="s">
        <v>123</v>
      </c>
      <c r="D129" s="6" t="s">
        <v>116</v>
      </c>
      <c r="E129" s="113" t="s">
        <v>1165</v>
      </c>
      <c r="F129" s="14" t="s">
        <v>50</v>
      </c>
      <c r="G129" s="57">
        <f>G130+G131+G132+G133+G134</f>
        <v>202483</v>
      </c>
      <c r="H129" s="116"/>
      <c r="I129" s="117"/>
      <c r="J129" s="116"/>
      <c r="K129" s="80"/>
      <c r="L129" s="79"/>
      <c r="M129" s="79"/>
      <c r="AG129" s="79"/>
      <c r="AH129" s="79"/>
      <c r="DT129" s="99">
        <f t="shared" si="1"/>
        <v>0</v>
      </c>
    </row>
    <row r="130" spans="1:124" ht="93.75" x14ac:dyDescent="0.3">
      <c r="A130" s="143" t="s">
        <v>56</v>
      </c>
      <c r="B130" s="13">
        <v>905</v>
      </c>
      <c r="C130" s="14" t="s">
        <v>123</v>
      </c>
      <c r="D130" s="6" t="s">
        <v>116</v>
      </c>
      <c r="E130" s="113" t="s">
        <v>1165</v>
      </c>
      <c r="F130" s="14" t="s">
        <v>57</v>
      </c>
      <c r="G130" s="72">
        <f>DT130</f>
        <v>157483</v>
      </c>
      <c r="H130" s="116"/>
      <c r="I130" s="117">
        <f>92884+4670</f>
        <v>97554</v>
      </c>
      <c r="J130" s="116"/>
      <c r="K130" s="80"/>
      <c r="L130" s="79"/>
      <c r="M130" s="79">
        <v>-140.9</v>
      </c>
      <c r="W130">
        <v>-0.55000000000000004</v>
      </c>
      <c r="AG130" s="79">
        <f>-783</f>
        <v>-783</v>
      </c>
      <c r="AH130" s="79"/>
      <c r="AK130" s="79">
        <f>86427.1-0.7</f>
        <v>86426.400000000009</v>
      </c>
      <c r="AP130" s="151">
        <v>8308</v>
      </c>
      <c r="BK130" s="226">
        <v>1796</v>
      </c>
      <c r="BO130" s="238">
        <v>115012.2</v>
      </c>
      <c r="BY130" s="151">
        <v>10175</v>
      </c>
      <c r="CI130" s="194">
        <v>4794</v>
      </c>
      <c r="CQ130" s="99">
        <v>179274</v>
      </c>
      <c r="CW130" s="268">
        <v>11207</v>
      </c>
      <c r="DI130" s="270">
        <v>3642</v>
      </c>
      <c r="DM130" s="194">
        <v>-1030</v>
      </c>
      <c r="DN130" s="283">
        <f>202483-43051.5-1948.5</f>
        <v>157483</v>
      </c>
      <c r="DT130" s="99">
        <f t="shared" si="1"/>
        <v>157483</v>
      </c>
    </row>
    <row r="131" spans="1:124" ht="37.5" x14ac:dyDescent="0.3">
      <c r="A131" s="143" t="s">
        <v>425</v>
      </c>
      <c r="B131" s="13">
        <v>905</v>
      </c>
      <c r="C131" s="14" t="s">
        <v>123</v>
      </c>
      <c r="D131" s="6" t="s">
        <v>116</v>
      </c>
      <c r="E131" s="113" t="s">
        <v>1165</v>
      </c>
      <c r="F131" s="14" t="s">
        <v>59</v>
      </c>
      <c r="G131" s="57">
        <f>DN131</f>
        <v>1948.5</v>
      </c>
      <c r="H131" s="125"/>
      <c r="I131" s="126">
        <v>1932</v>
      </c>
      <c r="J131" s="125"/>
      <c r="K131" s="80"/>
      <c r="L131" s="79"/>
      <c r="M131" s="79">
        <v>66</v>
      </c>
      <c r="AG131" s="79">
        <v>-33</v>
      </c>
      <c r="AH131" s="79"/>
      <c r="AK131" s="79">
        <v>1898</v>
      </c>
      <c r="AP131" s="151">
        <v>-3</v>
      </c>
      <c r="BO131" s="238">
        <v>1979</v>
      </c>
      <c r="BY131" s="151">
        <v>-7</v>
      </c>
      <c r="CW131" s="268">
        <v>2746</v>
      </c>
      <c r="DN131" s="283">
        <v>1948.5</v>
      </c>
      <c r="DT131" s="99">
        <f t="shared" si="1"/>
        <v>1948.5</v>
      </c>
    </row>
    <row r="132" spans="1:124" hidden="1" x14ac:dyDescent="0.3">
      <c r="A132" s="143" t="s">
        <v>60</v>
      </c>
      <c r="B132" s="13">
        <v>905</v>
      </c>
      <c r="C132" s="14" t="s">
        <v>123</v>
      </c>
      <c r="D132" s="6" t="s">
        <v>116</v>
      </c>
      <c r="E132" s="14" t="s">
        <v>41</v>
      </c>
      <c r="F132" s="14" t="s">
        <v>61</v>
      </c>
      <c r="G132" s="57">
        <v>0</v>
      </c>
      <c r="H132" s="116"/>
      <c r="I132" s="117"/>
      <c r="J132" s="116"/>
      <c r="K132" s="80"/>
      <c r="L132" s="79"/>
      <c r="M132" s="79"/>
      <c r="AG132" s="79"/>
      <c r="AH132" s="79"/>
      <c r="DN132" s="283"/>
      <c r="DT132" s="99">
        <f t="shared" si="1"/>
        <v>0</v>
      </c>
    </row>
    <row r="133" spans="1:124" ht="56.25" x14ac:dyDescent="0.3">
      <c r="A133" s="143" t="s">
        <v>264</v>
      </c>
      <c r="B133" s="13">
        <v>905</v>
      </c>
      <c r="C133" s="14" t="s">
        <v>123</v>
      </c>
      <c r="D133" s="6" t="s">
        <v>116</v>
      </c>
      <c r="E133" s="113" t="s">
        <v>1165</v>
      </c>
      <c r="F133" s="14" t="s">
        <v>261</v>
      </c>
      <c r="G133" s="57">
        <f>DN133</f>
        <v>43051.5</v>
      </c>
      <c r="H133" s="125"/>
      <c r="I133" s="126">
        <v>29478</v>
      </c>
      <c r="J133" s="125"/>
      <c r="K133" s="80"/>
      <c r="L133" s="79">
        <v>26466</v>
      </c>
      <c r="M133" s="79">
        <v>74.900000000000006</v>
      </c>
      <c r="AG133" s="79">
        <v>47</v>
      </c>
      <c r="AH133" s="79"/>
      <c r="AK133" s="79">
        <v>26462.9</v>
      </c>
      <c r="AP133" s="151">
        <v>3459</v>
      </c>
      <c r="BO133" s="238">
        <v>32159.8</v>
      </c>
      <c r="CI133" s="194">
        <v>828</v>
      </c>
      <c r="DI133" s="270">
        <v>1485</v>
      </c>
      <c r="DM133" s="194">
        <v>1030</v>
      </c>
      <c r="DN133" s="283">
        <v>43051.5</v>
      </c>
      <c r="DT133" s="99">
        <f t="shared" si="1"/>
        <v>43051.5</v>
      </c>
    </row>
    <row r="134" spans="1:124" hidden="1" x14ac:dyDescent="0.3">
      <c r="A134" s="143" t="s">
        <v>60</v>
      </c>
      <c r="B134" s="13">
        <v>905</v>
      </c>
      <c r="C134" s="14" t="s">
        <v>123</v>
      </c>
      <c r="D134" s="6" t="s">
        <v>116</v>
      </c>
      <c r="E134" s="14" t="s">
        <v>41</v>
      </c>
      <c r="F134" s="14" t="s">
        <v>61</v>
      </c>
      <c r="G134" s="57">
        <v>0</v>
      </c>
      <c r="H134" s="116"/>
      <c r="I134" s="117"/>
      <c r="J134" s="116"/>
      <c r="K134" s="80"/>
      <c r="L134" s="79"/>
      <c r="M134" s="79"/>
      <c r="W134">
        <v>0.55000000000000004</v>
      </c>
      <c r="AG134" s="79"/>
      <c r="AH134" s="79"/>
      <c r="AK134" s="79">
        <v>0</v>
      </c>
      <c r="DT134" s="99">
        <f t="shared" si="1"/>
        <v>0</v>
      </c>
    </row>
    <row r="135" spans="1:124" ht="57" customHeight="1" x14ac:dyDescent="0.3">
      <c r="A135" s="143" t="s">
        <v>688</v>
      </c>
      <c r="B135" s="13">
        <v>905</v>
      </c>
      <c r="C135" s="14" t="s">
        <v>123</v>
      </c>
      <c r="D135" s="6" t="s">
        <v>116</v>
      </c>
      <c r="E135" s="113" t="s">
        <v>1182</v>
      </c>
      <c r="F135" s="14" t="s">
        <v>50</v>
      </c>
      <c r="G135" s="57">
        <f>G136+G137</f>
        <v>1280.2</v>
      </c>
      <c r="H135" s="116"/>
      <c r="I135" s="117"/>
      <c r="J135" s="116"/>
      <c r="K135" s="80"/>
      <c r="L135" s="79"/>
      <c r="M135" s="79"/>
      <c r="AG135" s="79"/>
      <c r="AH135" s="79"/>
      <c r="DT135" s="99">
        <f t="shared" si="1"/>
        <v>0</v>
      </c>
    </row>
    <row r="136" spans="1:124" ht="37.5" x14ac:dyDescent="0.3">
      <c r="A136" s="143" t="s">
        <v>425</v>
      </c>
      <c r="B136" s="13">
        <v>905</v>
      </c>
      <c r="C136" s="14" t="s">
        <v>123</v>
      </c>
      <c r="D136" s="6" t="s">
        <v>116</v>
      </c>
      <c r="E136" s="113" t="s">
        <v>1182</v>
      </c>
      <c r="F136" s="14" t="s">
        <v>59</v>
      </c>
      <c r="G136" s="57">
        <f>DT136</f>
        <v>640.1</v>
      </c>
      <c r="H136" s="116"/>
      <c r="I136" s="117">
        <v>633.6</v>
      </c>
      <c r="J136" s="116"/>
      <c r="K136" s="80"/>
      <c r="L136" s="79"/>
      <c r="M136" s="79"/>
      <c r="AG136" s="79"/>
      <c r="AH136" s="79"/>
      <c r="AO136" s="150">
        <v>134.5</v>
      </c>
      <c r="BK136" s="226">
        <v>-350.1</v>
      </c>
      <c r="BO136" s="238">
        <v>768.1</v>
      </c>
      <c r="CQ136" s="99">
        <v>1408.2</v>
      </c>
      <c r="DN136" s="274">
        <f>1280.2-640.1</f>
        <v>640.1</v>
      </c>
      <c r="DT136" s="99">
        <f t="shared" si="1"/>
        <v>640.1</v>
      </c>
    </row>
    <row r="137" spans="1:124" ht="56.25" x14ac:dyDescent="0.3">
      <c r="A137" s="143" t="s">
        <v>264</v>
      </c>
      <c r="B137" s="13">
        <v>905</v>
      </c>
      <c r="C137" s="14" t="s">
        <v>123</v>
      </c>
      <c r="D137" s="6" t="s">
        <v>116</v>
      </c>
      <c r="E137" s="113" t="s">
        <v>1182</v>
      </c>
      <c r="F137" s="14" t="s">
        <v>261</v>
      </c>
      <c r="G137" s="57">
        <f>DN137</f>
        <v>640.1</v>
      </c>
      <c r="H137" s="116"/>
      <c r="I137" s="117">
        <v>633.6</v>
      </c>
      <c r="J137" s="116"/>
      <c r="K137" s="80"/>
      <c r="L137" s="79"/>
      <c r="M137" s="79"/>
      <c r="AG137" s="79"/>
      <c r="AH137" s="79"/>
      <c r="AO137" s="150">
        <v>134.5</v>
      </c>
      <c r="BK137" s="226">
        <v>-271.60000000000002</v>
      </c>
      <c r="BO137" s="238">
        <v>768.1</v>
      </c>
      <c r="DN137" s="274">
        <v>640.1</v>
      </c>
      <c r="DT137" s="99">
        <f t="shared" si="1"/>
        <v>640.1</v>
      </c>
    </row>
    <row r="138" spans="1:124" ht="56.25" hidden="1" x14ac:dyDescent="0.3">
      <c r="A138" s="166" t="s">
        <v>132</v>
      </c>
      <c r="B138" s="13">
        <v>905</v>
      </c>
      <c r="C138" s="14" t="s">
        <v>123</v>
      </c>
      <c r="D138" s="6" t="s">
        <v>116</v>
      </c>
      <c r="E138" s="20" t="s">
        <v>860</v>
      </c>
      <c r="F138" s="20" t="s">
        <v>50</v>
      </c>
      <c r="G138" s="57">
        <f>G139</f>
        <v>0</v>
      </c>
      <c r="H138" s="116"/>
      <c r="I138" s="117"/>
      <c r="J138" s="116"/>
      <c r="K138" s="80"/>
      <c r="L138" s="79"/>
      <c r="M138" s="79"/>
      <c r="AG138" s="79"/>
      <c r="AH138" s="79"/>
      <c r="DT138" s="99">
        <f t="shared" ref="DT138:DT201" si="2">DN138+DO138+DP138+DQ138+DR138+DS138</f>
        <v>0</v>
      </c>
    </row>
    <row r="139" spans="1:124" ht="93.75" hidden="1" x14ac:dyDescent="0.3">
      <c r="A139" s="143" t="s">
        <v>56</v>
      </c>
      <c r="B139" s="13">
        <v>905</v>
      </c>
      <c r="C139" s="14" t="s">
        <v>123</v>
      </c>
      <c r="D139" s="6" t="s">
        <v>116</v>
      </c>
      <c r="E139" s="20" t="s">
        <v>860</v>
      </c>
      <c r="F139" s="14" t="s">
        <v>57</v>
      </c>
      <c r="G139" s="57">
        <v>0</v>
      </c>
      <c r="H139" s="125"/>
      <c r="I139" s="126">
        <v>6320.8</v>
      </c>
      <c r="J139" s="125"/>
      <c r="K139" s="80"/>
      <c r="L139" s="79"/>
      <c r="M139" s="79"/>
      <c r="AG139" s="79">
        <v>2957.1</v>
      </c>
      <c r="AH139" s="79"/>
      <c r="AK139" s="79">
        <v>5914.2</v>
      </c>
      <c r="BK139" s="226">
        <v>2702.3</v>
      </c>
      <c r="BO139" s="238">
        <v>6070.3</v>
      </c>
      <c r="DT139" s="99">
        <f t="shared" si="2"/>
        <v>0</v>
      </c>
    </row>
    <row r="140" spans="1:124" ht="38.25" customHeight="1" x14ac:dyDescent="0.3">
      <c r="A140" s="143" t="s">
        <v>769</v>
      </c>
      <c r="B140" s="13">
        <v>905</v>
      </c>
      <c r="C140" s="14" t="s">
        <v>123</v>
      </c>
      <c r="D140" s="6" t="s">
        <v>116</v>
      </c>
      <c r="E140" s="113" t="s">
        <v>1184</v>
      </c>
      <c r="F140" s="14" t="s">
        <v>50</v>
      </c>
      <c r="G140" s="57">
        <f>G141+G142</f>
        <v>1473.5</v>
      </c>
      <c r="H140" s="125"/>
      <c r="I140" s="126"/>
      <c r="J140" s="125"/>
      <c r="K140" s="80"/>
      <c r="L140" s="79"/>
      <c r="M140" s="79"/>
      <c r="AG140" s="79"/>
      <c r="AH140" s="79"/>
      <c r="DT140" s="99">
        <f t="shared" si="2"/>
        <v>0</v>
      </c>
    </row>
    <row r="141" spans="1:124" ht="38.25" customHeight="1" x14ac:dyDescent="0.3">
      <c r="A141" s="143" t="s">
        <v>425</v>
      </c>
      <c r="B141" s="13">
        <v>905</v>
      </c>
      <c r="C141" s="14" t="s">
        <v>123</v>
      </c>
      <c r="D141" s="6" t="s">
        <v>116</v>
      </c>
      <c r="E141" s="113" t="s">
        <v>1184</v>
      </c>
      <c r="F141" s="14" t="s">
        <v>59</v>
      </c>
      <c r="G141" s="57">
        <f>DT141</f>
        <v>1168.7</v>
      </c>
      <c r="H141" s="125"/>
      <c r="I141" s="126">
        <v>47.3</v>
      </c>
      <c r="J141" s="125"/>
      <c r="K141" s="80"/>
      <c r="L141" s="79"/>
      <c r="M141" s="79"/>
      <c r="AG141" s="79"/>
      <c r="AH141" s="79"/>
      <c r="AO141" s="150">
        <v>42.1</v>
      </c>
      <c r="BH141" s="233">
        <v>-44.236499999999999</v>
      </c>
      <c r="BK141" s="226">
        <v>101.1</v>
      </c>
      <c r="BO141" s="238">
        <v>268.39999999999998</v>
      </c>
      <c r="BY141" s="151">
        <v>114.9</v>
      </c>
      <c r="CB141" s="226">
        <v>19.62</v>
      </c>
      <c r="CI141" s="194">
        <v>77.5</v>
      </c>
      <c r="CQ141" s="99">
        <v>806.4</v>
      </c>
      <c r="DN141" s="274">
        <f>1473.5-304.8</f>
        <v>1168.7</v>
      </c>
      <c r="DT141" s="99">
        <f t="shared" si="2"/>
        <v>1168.7</v>
      </c>
    </row>
    <row r="142" spans="1:124" ht="48.75" customHeight="1" x14ac:dyDescent="0.3">
      <c r="A142" s="143" t="s">
        <v>264</v>
      </c>
      <c r="B142" s="13">
        <v>905</v>
      </c>
      <c r="C142" s="14" t="s">
        <v>123</v>
      </c>
      <c r="D142" s="6" t="s">
        <v>116</v>
      </c>
      <c r="E142" s="113" t="s">
        <v>1184</v>
      </c>
      <c r="F142" s="14" t="s">
        <v>261</v>
      </c>
      <c r="G142" s="57">
        <f>DN142</f>
        <v>304.8</v>
      </c>
      <c r="H142" s="125"/>
      <c r="I142" s="126">
        <v>28.3</v>
      </c>
      <c r="J142" s="125"/>
      <c r="K142" s="80"/>
      <c r="L142" s="79"/>
      <c r="M142" s="79"/>
      <c r="AG142" s="79"/>
      <c r="AH142" s="79"/>
      <c r="AO142" s="150">
        <v>6.6</v>
      </c>
      <c r="BC142" s="226">
        <v>197.8</v>
      </c>
      <c r="BH142" s="233">
        <v>44.236499999999999</v>
      </c>
      <c r="CB142" s="226">
        <v>-19.62</v>
      </c>
      <c r="CI142" s="194">
        <v>76.099999999999994</v>
      </c>
      <c r="DN142" s="274">
        <v>304.8</v>
      </c>
      <c r="DT142" s="99">
        <f t="shared" si="2"/>
        <v>304.8</v>
      </c>
    </row>
    <row r="143" spans="1:124" ht="120" hidden="1" customHeight="1" x14ac:dyDescent="0.3">
      <c r="A143" s="143" t="s">
        <v>930</v>
      </c>
      <c r="B143" s="13">
        <v>905</v>
      </c>
      <c r="C143" s="14" t="s">
        <v>123</v>
      </c>
      <c r="D143" s="6" t="s">
        <v>116</v>
      </c>
      <c r="E143" s="14" t="s">
        <v>931</v>
      </c>
      <c r="F143" s="14" t="s">
        <v>50</v>
      </c>
      <c r="G143" s="57">
        <f>G144+G145</f>
        <v>0</v>
      </c>
      <c r="H143" s="125"/>
      <c r="I143" s="126"/>
      <c r="J143" s="125"/>
      <c r="K143" s="80"/>
      <c r="L143" s="79"/>
      <c r="M143" s="79"/>
      <c r="AG143" s="79"/>
      <c r="AH143" s="79"/>
      <c r="DI143" s="270">
        <v>45</v>
      </c>
      <c r="DT143" s="99">
        <f t="shared" si="2"/>
        <v>0</v>
      </c>
    </row>
    <row r="144" spans="1:124" ht="48.75" hidden="1" customHeight="1" x14ac:dyDescent="0.3">
      <c r="A144" s="143" t="s">
        <v>425</v>
      </c>
      <c r="B144" s="13">
        <v>905</v>
      </c>
      <c r="C144" s="14" t="s">
        <v>123</v>
      </c>
      <c r="D144" s="6" t="s">
        <v>116</v>
      </c>
      <c r="E144" s="14" t="s">
        <v>931</v>
      </c>
      <c r="F144" s="14" t="s">
        <v>59</v>
      </c>
      <c r="G144" s="57">
        <v>0</v>
      </c>
      <c r="H144" s="125"/>
      <c r="I144" s="126"/>
      <c r="J144" s="125"/>
      <c r="K144" s="80"/>
      <c r="L144" s="79"/>
      <c r="M144" s="79"/>
      <c r="AG144" s="79"/>
      <c r="AH144" s="79"/>
      <c r="DI144" s="270">
        <v>140</v>
      </c>
      <c r="DT144" s="99">
        <f t="shared" si="2"/>
        <v>0</v>
      </c>
    </row>
    <row r="145" spans="1:124" ht="48.75" hidden="1" customHeight="1" x14ac:dyDescent="0.3">
      <c r="A145" s="143" t="s">
        <v>264</v>
      </c>
      <c r="B145" s="13">
        <v>905</v>
      </c>
      <c r="C145" s="14" t="s">
        <v>123</v>
      </c>
      <c r="D145" s="6" t="s">
        <v>116</v>
      </c>
      <c r="E145" s="14" t="s">
        <v>931</v>
      </c>
      <c r="F145" s="14" t="s">
        <v>261</v>
      </c>
      <c r="G145" s="57">
        <v>0</v>
      </c>
      <c r="H145" s="125"/>
      <c r="I145" s="126"/>
      <c r="J145" s="125"/>
      <c r="K145" s="80"/>
      <c r="L145" s="79"/>
      <c r="M145" s="79"/>
      <c r="AG145" s="79"/>
      <c r="AH145" s="79"/>
      <c r="DT145" s="99">
        <f t="shared" si="2"/>
        <v>0</v>
      </c>
    </row>
    <row r="146" spans="1:124" ht="104.25" customHeight="1" x14ac:dyDescent="0.3">
      <c r="A146" s="143" t="s">
        <v>926</v>
      </c>
      <c r="B146" s="13">
        <v>905</v>
      </c>
      <c r="C146" s="14" t="s">
        <v>123</v>
      </c>
      <c r="D146" s="6" t="s">
        <v>116</v>
      </c>
      <c r="E146" s="14" t="s">
        <v>960</v>
      </c>
      <c r="F146" s="14" t="s">
        <v>50</v>
      </c>
      <c r="G146" s="57">
        <f>G147+G148</f>
        <v>539</v>
      </c>
      <c r="H146" s="125"/>
      <c r="I146" s="126"/>
      <c r="J146" s="125"/>
      <c r="K146" s="80"/>
      <c r="L146" s="79"/>
      <c r="M146" s="79"/>
      <c r="AG146" s="79"/>
      <c r="AH146" s="79"/>
      <c r="DT146" s="99">
        <f t="shared" si="2"/>
        <v>0</v>
      </c>
    </row>
    <row r="147" spans="1:124" ht="111.75" customHeight="1" x14ac:dyDescent="0.3">
      <c r="A147" s="143" t="s">
        <v>56</v>
      </c>
      <c r="B147" s="13">
        <v>905</v>
      </c>
      <c r="C147" s="14" t="s">
        <v>123</v>
      </c>
      <c r="D147" s="6" t="s">
        <v>116</v>
      </c>
      <c r="E147" s="14" t="s">
        <v>960</v>
      </c>
      <c r="F147" s="14" t="s">
        <v>57</v>
      </c>
      <c r="G147" s="57">
        <f>DT147</f>
        <v>449.2</v>
      </c>
      <c r="H147" s="125"/>
      <c r="I147" s="126"/>
      <c r="J147" s="125"/>
      <c r="K147" s="80"/>
      <c r="L147" s="79"/>
      <c r="M147" s="79"/>
      <c r="AG147" s="79"/>
      <c r="AH147" s="79"/>
      <c r="CK147" s="194">
        <v>149.9</v>
      </c>
      <c r="CT147" s="258">
        <v>449.25</v>
      </c>
      <c r="DN147" s="274">
        <f>539-89.8</f>
        <v>449.2</v>
      </c>
      <c r="DT147" s="99">
        <f t="shared" si="2"/>
        <v>449.2</v>
      </c>
    </row>
    <row r="148" spans="1:124" ht="54" customHeight="1" x14ac:dyDescent="0.3">
      <c r="A148" s="143" t="s">
        <v>264</v>
      </c>
      <c r="B148" s="13">
        <v>905</v>
      </c>
      <c r="C148" s="14" t="s">
        <v>123</v>
      </c>
      <c r="D148" s="6" t="s">
        <v>116</v>
      </c>
      <c r="E148" s="14" t="s">
        <v>960</v>
      </c>
      <c r="F148" s="14" t="s">
        <v>261</v>
      </c>
      <c r="G148" s="57">
        <f>DN148</f>
        <v>89.8</v>
      </c>
      <c r="H148" s="125"/>
      <c r="I148" s="126"/>
      <c r="J148" s="125"/>
      <c r="K148" s="80"/>
      <c r="L148" s="79"/>
      <c r="M148" s="79"/>
      <c r="AG148" s="79"/>
      <c r="AH148" s="79"/>
      <c r="CT148" s="258">
        <v>89.85</v>
      </c>
      <c r="DN148" s="274">
        <v>89.8</v>
      </c>
      <c r="DT148" s="99">
        <f t="shared" si="2"/>
        <v>89.8</v>
      </c>
    </row>
    <row r="149" spans="1:124" ht="56.25" x14ac:dyDescent="0.3">
      <c r="A149" s="143" t="s">
        <v>477</v>
      </c>
      <c r="B149" s="13">
        <v>905</v>
      </c>
      <c r="C149" s="14" t="s">
        <v>123</v>
      </c>
      <c r="D149" s="6" t="s">
        <v>116</v>
      </c>
      <c r="E149" s="14" t="s">
        <v>1135</v>
      </c>
      <c r="F149" s="14" t="s">
        <v>50</v>
      </c>
      <c r="G149" s="57">
        <f>G150+G151</f>
        <v>24435.9</v>
      </c>
      <c r="H149" s="116"/>
      <c r="I149" s="117"/>
      <c r="J149" s="116"/>
      <c r="K149" s="80"/>
      <c r="L149" s="79"/>
      <c r="M149" s="79"/>
      <c r="AG149" s="79"/>
      <c r="AH149" s="79"/>
      <c r="DT149" s="99">
        <f t="shared" si="2"/>
        <v>0</v>
      </c>
    </row>
    <row r="150" spans="1:124" ht="93.75" x14ac:dyDescent="0.3">
      <c r="A150" s="143" t="s">
        <v>56</v>
      </c>
      <c r="B150" s="13">
        <v>905</v>
      </c>
      <c r="C150" s="14" t="s">
        <v>123</v>
      </c>
      <c r="D150" s="6" t="s">
        <v>116</v>
      </c>
      <c r="E150" s="14" t="s">
        <v>1135</v>
      </c>
      <c r="F150" s="14" t="s">
        <v>57</v>
      </c>
      <c r="G150" s="57">
        <f>DT150</f>
        <v>19405</v>
      </c>
      <c r="H150" s="125"/>
      <c r="I150" s="126">
        <v>9972</v>
      </c>
      <c r="J150" s="125"/>
      <c r="K150" s="80">
        <v>359.4</v>
      </c>
      <c r="L150" s="79"/>
      <c r="M150" s="79"/>
      <c r="N150">
        <v>-79.2</v>
      </c>
      <c r="AG150" s="79"/>
      <c r="AH150" s="79"/>
      <c r="AK150" s="79">
        <v>9433</v>
      </c>
      <c r="BK150" s="226">
        <v>-730</v>
      </c>
      <c r="BO150" s="238">
        <v>12218</v>
      </c>
      <c r="CH150" s="258">
        <v>1477.3</v>
      </c>
      <c r="CI150" s="194">
        <v>6209.8</v>
      </c>
      <c r="CQ150" s="99">
        <v>24975</v>
      </c>
      <c r="DN150" s="274">
        <f>24435.9-5030.9</f>
        <v>19405</v>
      </c>
      <c r="DT150" s="99">
        <f t="shared" si="2"/>
        <v>19405</v>
      </c>
    </row>
    <row r="151" spans="1:124" ht="49.5" customHeight="1" x14ac:dyDescent="0.3">
      <c r="A151" s="143" t="s">
        <v>264</v>
      </c>
      <c r="B151" s="13">
        <v>905</v>
      </c>
      <c r="C151" s="14" t="s">
        <v>123</v>
      </c>
      <c r="D151" s="6" t="s">
        <v>116</v>
      </c>
      <c r="E151" s="14" t="s">
        <v>1135</v>
      </c>
      <c r="F151" s="14" t="s">
        <v>261</v>
      </c>
      <c r="G151" s="57">
        <f>DN151</f>
        <v>5030.8999999999996</v>
      </c>
      <c r="H151" s="125"/>
      <c r="I151" s="126">
        <v>2605.3000000000002</v>
      </c>
      <c r="J151" s="125"/>
      <c r="K151" s="80"/>
      <c r="L151" s="79">
        <v>2615.9</v>
      </c>
      <c r="M151" s="79"/>
      <c r="N151">
        <v>79.2</v>
      </c>
      <c r="AG151" s="79"/>
      <c r="AH151" s="79"/>
      <c r="AK151" s="79">
        <v>2605.3000000000002</v>
      </c>
      <c r="CH151" s="258">
        <v>578.29999999999995</v>
      </c>
      <c r="CI151" s="194">
        <v>1751.5</v>
      </c>
      <c r="DN151" s="274">
        <v>5030.8999999999996</v>
      </c>
      <c r="DT151" s="99">
        <f t="shared" si="2"/>
        <v>5030.8999999999996</v>
      </c>
    </row>
    <row r="152" spans="1:124" ht="75.75" customHeight="1" x14ac:dyDescent="0.3">
      <c r="A152" s="143" t="s">
        <v>611</v>
      </c>
      <c r="B152" s="13">
        <v>905</v>
      </c>
      <c r="C152" s="14" t="s">
        <v>123</v>
      </c>
      <c r="D152" s="6" t="s">
        <v>116</v>
      </c>
      <c r="E152" s="14" t="s">
        <v>856</v>
      </c>
      <c r="F152" s="14" t="s">
        <v>50</v>
      </c>
      <c r="G152" s="57">
        <f>G153+G154</f>
        <v>16395</v>
      </c>
      <c r="H152" s="116"/>
      <c r="I152" s="117"/>
      <c r="J152" s="116"/>
      <c r="K152" s="80"/>
      <c r="L152" s="79"/>
      <c r="M152" s="79"/>
      <c r="AG152" s="79"/>
      <c r="AH152" s="79"/>
      <c r="DT152" s="99">
        <f t="shared" si="2"/>
        <v>0</v>
      </c>
    </row>
    <row r="153" spans="1:124" ht="37.5" x14ac:dyDescent="0.3">
      <c r="A153" s="143" t="s">
        <v>425</v>
      </c>
      <c r="B153" s="13">
        <v>905</v>
      </c>
      <c r="C153" s="14" t="s">
        <v>123</v>
      </c>
      <c r="D153" s="6" t="s">
        <v>116</v>
      </c>
      <c r="E153" s="14" t="s">
        <v>856</v>
      </c>
      <c r="F153" s="14" t="s">
        <v>59</v>
      </c>
      <c r="G153" s="57">
        <f>DT153</f>
        <v>12460.7</v>
      </c>
      <c r="H153" s="125"/>
      <c r="I153" s="126">
        <v>12523.5</v>
      </c>
      <c r="J153" s="125">
        <f>125.9+0.7</f>
        <v>126.60000000000001</v>
      </c>
      <c r="K153" s="80">
        <v>1038.8</v>
      </c>
      <c r="L153" s="79"/>
      <c r="M153" s="79">
        <v>10.5</v>
      </c>
      <c r="N153">
        <v>-247.1</v>
      </c>
      <c r="AG153" s="79"/>
      <c r="AH153" s="79"/>
      <c r="AK153" s="79">
        <v>11775.8</v>
      </c>
      <c r="AO153" s="150">
        <v>11.1</v>
      </c>
      <c r="BD153" s="226">
        <v>-217.40164999999999</v>
      </c>
      <c r="BK153" s="226">
        <f>164.8+1.7</f>
        <v>166.5</v>
      </c>
      <c r="BO153" s="238">
        <v>16533</v>
      </c>
      <c r="BP153" s="239">
        <v>167</v>
      </c>
      <c r="BT153" s="151">
        <v>-296</v>
      </c>
      <c r="BU153" s="151">
        <v>-2.9</v>
      </c>
      <c r="CG153" s="194">
        <v>-678.83450000000005</v>
      </c>
      <c r="CQ153" s="99">
        <f>16874.9+171</f>
        <v>17045.900000000001</v>
      </c>
      <c r="CT153" s="258">
        <v>-1349.8</v>
      </c>
      <c r="CY153" s="194">
        <v>-6.5</v>
      </c>
      <c r="DN153" s="274">
        <f>16231+164-3934.3</f>
        <v>12460.7</v>
      </c>
      <c r="DT153" s="99">
        <f t="shared" si="2"/>
        <v>12460.7</v>
      </c>
    </row>
    <row r="154" spans="1:124" ht="46.5" customHeight="1" x14ac:dyDescent="0.3">
      <c r="A154" s="143" t="s">
        <v>264</v>
      </c>
      <c r="B154" s="13">
        <v>905</v>
      </c>
      <c r="C154" s="14" t="s">
        <v>123</v>
      </c>
      <c r="D154" s="6" t="s">
        <v>116</v>
      </c>
      <c r="E154" s="14" t="s">
        <v>856</v>
      </c>
      <c r="F154" s="14" t="s">
        <v>261</v>
      </c>
      <c r="G154" s="57">
        <f>DN154</f>
        <v>3934.3</v>
      </c>
      <c r="H154" s="125"/>
      <c r="I154" s="126">
        <v>3682.4</v>
      </c>
      <c r="J154" s="125">
        <v>37.1</v>
      </c>
      <c r="K154" s="80"/>
      <c r="L154" s="79">
        <v>3028.6</v>
      </c>
      <c r="M154" s="79"/>
      <c r="N154">
        <v>247.1</v>
      </c>
      <c r="AG154" s="79"/>
      <c r="AH154" s="79"/>
      <c r="AK154" s="79">
        <v>3417.1</v>
      </c>
      <c r="AN154" s="150">
        <v>0.7</v>
      </c>
      <c r="AO154" s="150">
        <v>56.2</v>
      </c>
      <c r="BD154" s="226">
        <v>217.40164999999999</v>
      </c>
      <c r="CG154" s="194">
        <v>678.83450000000005</v>
      </c>
      <c r="CT154" s="258">
        <v>753.9</v>
      </c>
      <c r="DN154" s="274">
        <f>3895+39.3</f>
        <v>3934.3</v>
      </c>
      <c r="DT154" s="99">
        <f t="shared" si="2"/>
        <v>3934.3</v>
      </c>
    </row>
    <row r="155" spans="1:124" ht="56.25" hidden="1" x14ac:dyDescent="0.3">
      <c r="A155" s="156" t="s">
        <v>0</v>
      </c>
      <c r="B155" s="13">
        <v>905</v>
      </c>
      <c r="C155" s="14" t="s">
        <v>123</v>
      </c>
      <c r="D155" s="6" t="s">
        <v>116</v>
      </c>
      <c r="E155" s="15" t="s">
        <v>92</v>
      </c>
      <c r="F155" s="14" t="s">
        <v>50</v>
      </c>
      <c r="G155" s="57">
        <f>G156</f>
        <v>0</v>
      </c>
      <c r="H155" s="116"/>
      <c r="I155" s="117"/>
      <c r="J155" s="116"/>
      <c r="K155" s="80"/>
      <c r="L155" s="79"/>
      <c r="M155" s="79"/>
      <c r="AG155" s="79"/>
      <c r="AH155" s="79"/>
      <c r="DT155" s="99">
        <f t="shared" si="2"/>
        <v>0</v>
      </c>
    </row>
    <row r="156" spans="1:124" ht="75" hidden="1" x14ac:dyDescent="0.3">
      <c r="A156" s="156" t="s">
        <v>2</v>
      </c>
      <c r="B156" s="13">
        <v>905</v>
      </c>
      <c r="C156" s="14" t="s">
        <v>123</v>
      </c>
      <c r="D156" s="6" t="s">
        <v>116</v>
      </c>
      <c r="E156" s="15" t="s">
        <v>26</v>
      </c>
      <c r="F156" s="14" t="s">
        <v>50</v>
      </c>
      <c r="G156" s="57">
        <f>G157</f>
        <v>0</v>
      </c>
      <c r="H156" s="116"/>
      <c r="I156" s="117"/>
      <c r="J156" s="116"/>
      <c r="K156" s="80"/>
      <c r="L156" s="79"/>
      <c r="M156" s="79"/>
      <c r="AG156" s="79"/>
      <c r="AH156" s="79"/>
      <c r="DT156" s="99">
        <f t="shared" si="2"/>
        <v>0</v>
      </c>
    </row>
    <row r="157" spans="1:124" hidden="1" x14ac:dyDescent="0.3">
      <c r="A157" s="176" t="s">
        <v>62</v>
      </c>
      <c r="B157" s="13">
        <v>905</v>
      </c>
      <c r="C157" s="14" t="s">
        <v>123</v>
      </c>
      <c r="D157" s="6" t="s">
        <v>116</v>
      </c>
      <c r="E157" s="31" t="s">
        <v>287</v>
      </c>
      <c r="F157" s="31" t="s">
        <v>50</v>
      </c>
      <c r="G157" s="57">
        <f>G158</f>
        <v>0</v>
      </c>
      <c r="H157" s="116"/>
      <c r="I157" s="117"/>
      <c r="J157" s="116"/>
      <c r="K157" s="80"/>
      <c r="L157" s="79"/>
      <c r="M157" s="79"/>
      <c r="AG157" s="79"/>
      <c r="AH157" s="79"/>
      <c r="DT157" s="99">
        <f t="shared" si="2"/>
        <v>0</v>
      </c>
    </row>
    <row r="158" spans="1:124" hidden="1" x14ac:dyDescent="0.3">
      <c r="A158" s="176" t="s">
        <v>286</v>
      </c>
      <c r="B158" s="13">
        <v>905</v>
      </c>
      <c r="C158" s="14" t="s">
        <v>123</v>
      </c>
      <c r="D158" s="6" t="s">
        <v>116</v>
      </c>
      <c r="E158" s="31" t="s">
        <v>288</v>
      </c>
      <c r="F158" s="31" t="s">
        <v>50</v>
      </c>
      <c r="G158" s="57">
        <f>G159+G160</f>
        <v>0</v>
      </c>
      <c r="H158" s="116"/>
      <c r="I158" s="117"/>
      <c r="J158" s="116"/>
      <c r="K158" s="80"/>
      <c r="L158" s="79"/>
      <c r="M158" s="79"/>
      <c r="AG158" s="79"/>
      <c r="AH158" s="79"/>
      <c r="DT158" s="99">
        <f t="shared" si="2"/>
        <v>0</v>
      </c>
    </row>
    <row r="159" spans="1:124" ht="93.75" hidden="1" x14ac:dyDescent="0.3">
      <c r="A159" s="143" t="s">
        <v>56</v>
      </c>
      <c r="B159" s="13">
        <v>905</v>
      </c>
      <c r="C159" s="14" t="s">
        <v>123</v>
      </c>
      <c r="D159" s="6" t="s">
        <v>116</v>
      </c>
      <c r="E159" s="14" t="s">
        <v>288</v>
      </c>
      <c r="F159" s="14" t="s">
        <v>57</v>
      </c>
      <c r="G159" s="57">
        <v>0</v>
      </c>
      <c r="H159" s="116"/>
      <c r="I159" s="117"/>
      <c r="J159" s="116"/>
      <c r="K159" s="80"/>
      <c r="L159" s="79"/>
      <c r="M159" s="79"/>
      <c r="T159">
        <v>90</v>
      </c>
      <c r="AG159" s="79"/>
      <c r="AH159" s="79"/>
      <c r="AK159" s="79">
        <v>0</v>
      </c>
      <c r="AV159" s="194">
        <v>266.34800000000001</v>
      </c>
      <c r="DT159" s="99">
        <f t="shared" si="2"/>
        <v>0</v>
      </c>
    </row>
    <row r="160" spans="1:124" ht="48" hidden="1" customHeight="1" x14ac:dyDescent="0.3">
      <c r="A160" s="143" t="s">
        <v>264</v>
      </c>
      <c r="B160" s="13">
        <v>905</v>
      </c>
      <c r="C160" s="14" t="s">
        <v>123</v>
      </c>
      <c r="D160" s="6" t="s">
        <v>116</v>
      </c>
      <c r="E160" s="14" t="s">
        <v>288</v>
      </c>
      <c r="F160" s="14" t="s">
        <v>261</v>
      </c>
      <c r="G160" s="57">
        <v>0</v>
      </c>
      <c r="H160" s="116"/>
      <c r="I160" s="117"/>
      <c r="J160" s="116"/>
      <c r="K160" s="80"/>
      <c r="L160" s="79"/>
      <c r="M160" s="79"/>
      <c r="T160">
        <v>30</v>
      </c>
      <c r="AG160" s="79"/>
      <c r="AH160" s="79"/>
      <c r="AK160" s="79">
        <v>0</v>
      </c>
      <c r="AV160" s="194">
        <v>81.06</v>
      </c>
      <c r="DT160" s="99">
        <f t="shared" si="2"/>
        <v>0</v>
      </c>
    </row>
    <row r="161" spans="1:125" ht="48" hidden="1" customHeight="1" x14ac:dyDescent="0.3">
      <c r="A161" s="156" t="s">
        <v>633</v>
      </c>
      <c r="B161" s="13">
        <v>905</v>
      </c>
      <c r="C161" s="14" t="s">
        <v>123</v>
      </c>
      <c r="D161" s="6" t="s">
        <v>116</v>
      </c>
      <c r="E161" s="14" t="s">
        <v>695</v>
      </c>
      <c r="F161" s="14" t="s">
        <v>50</v>
      </c>
      <c r="G161" s="57">
        <f>G162</f>
        <v>0</v>
      </c>
      <c r="H161" s="116"/>
      <c r="I161" s="117"/>
      <c r="J161" s="116"/>
      <c r="K161" s="80"/>
      <c r="L161" s="79"/>
      <c r="M161" s="79"/>
      <c r="AG161" s="79"/>
      <c r="AH161" s="79"/>
      <c r="DT161" s="99">
        <f t="shared" si="2"/>
        <v>0</v>
      </c>
    </row>
    <row r="162" spans="1:125" ht="34.5" hidden="1" customHeight="1" x14ac:dyDescent="0.3">
      <c r="A162" s="143" t="s">
        <v>759</v>
      </c>
      <c r="B162" s="13">
        <v>905</v>
      </c>
      <c r="C162" s="14" t="s">
        <v>123</v>
      </c>
      <c r="D162" s="6" t="s">
        <v>116</v>
      </c>
      <c r="E162" s="14" t="s">
        <v>760</v>
      </c>
      <c r="F162" s="14" t="s">
        <v>50</v>
      </c>
      <c r="G162" s="57">
        <f>G163</f>
        <v>0</v>
      </c>
      <c r="H162" s="116"/>
      <c r="I162" s="117"/>
      <c r="J162" s="116"/>
      <c r="K162" s="80"/>
      <c r="L162" s="79"/>
      <c r="M162" s="79"/>
      <c r="AG162" s="79"/>
      <c r="AH162" s="79"/>
      <c r="DT162" s="99">
        <f t="shared" si="2"/>
        <v>0</v>
      </c>
    </row>
    <row r="163" spans="1:125" ht="96" hidden="1" customHeight="1" x14ac:dyDescent="0.3">
      <c r="A163" s="209" t="s">
        <v>742</v>
      </c>
      <c r="B163" s="13">
        <v>905</v>
      </c>
      <c r="C163" s="14" t="s">
        <v>123</v>
      </c>
      <c r="D163" s="6" t="s">
        <v>116</v>
      </c>
      <c r="E163" s="14" t="s">
        <v>741</v>
      </c>
      <c r="F163" s="14" t="s">
        <v>50</v>
      </c>
      <c r="G163" s="57">
        <f>G164</f>
        <v>0</v>
      </c>
      <c r="H163" s="116"/>
      <c r="I163" s="117"/>
      <c r="J163" s="116"/>
      <c r="K163" s="80"/>
      <c r="L163" s="79"/>
      <c r="M163" s="79"/>
      <c r="AG163" s="79"/>
      <c r="AH163" s="79"/>
      <c r="DT163" s="99">
        <f t="shared" si="2"/>
        <v>0</v>
      </c>
    </row>
    <row r="164" spans="1:125" ht="48" hidden="1" customHeight="1" x14ac:dyDescent="0.3">
      <c r="A164" s="143" t="s">
        <v>425</v>
      </c>
      <c r="B164" s="13">
        <v>905</v>
      </c>
      <c r="C164" s="14" t="s">
        <v>123</v>
      </c>
      <c r="D164" s="6" t="s">
        <v>116</v>
      </c>
      <c r="E164" s="14" t="s">
        <v>741</v>
      </c>
      <c r="F164" s="14" t="s">
        <v>59</v>
      </c>
      <c r="G164" s="57">
        <v>0</v>
      </c>
      <c r="H164" s="116"/>
      <c r="I164" s="117"/>
      <c r="J164" s="116"/>
      <c r="K164" s="80"/>
      <c r="L164" s="79"/>
      <c r="M164" s="79"/>
      <c r="AG164" s="79"/>
      <c r="AH164" s="79"/>
      <c r="AN164" s="150">
        <v>46.9</v>
      </c>
      <c r="AO164" s="150">
        <v>4635.6000000000004</v>
      </c>
      <c r="BT164" s="151">
        <v>3148</v>
      </c>
      <c r="BU164" s="151">
        <v>31.8</v>
      </c>
      <c r="DT164" s="99">
        <f t="shared" si="2"/>
        <v>0</v>
      </c>
    </row>
    <row r="165" spans="1:125" ht="48" customHeight="1" x14ac:dyDescent="0.3">
      <c r="A165" s="232" t="s">
        <v>1151</v>
      </c>
      <c r="B165" s="13">
        <v>905</v>
      </c>
      <c r="C165" s="14" t="s">
        <v>123</v>
      </c>
      <c r="D165" s="6" t="s">
        <v>116</v>
      </c>
      <c r="E165" s="113" t="s">
        <v>1176</v>
      </c>
      <c r="F165" s="14" t="s">
        <v>50</v>
      </c>
      <c r="G165" s="57">
        <f>G166</f>
        <v>108025.40000000001</v>
      </c>
      <c r="H165" s="116"/>
      <c r="I165" s="117"/>
      <c r="J165" s="116"/>
      <c r="K165" s="80"/>
      <c r="L165" s="79"/>
      <c r="M165" s="79"/>
      <c r="AG165" s="79"/>
      <c r="AH165" s="79"/>
      <c r="DT165" s="99">
        <f t="shared" si="2"/>
        <v>0</v>
      </c>
    </row>
    <row r="166" spans="1:125" ht="48" customHeight="1" x14ac:dyDescent="0.3">
      <c r="A166" s="143" t="s">
        <v>425</v>
      </c>
      <c r="B166" s="13">
        <v>905</v>
      </c>
      <c r="C166" s="14" t="s">
        <v>123</v>
      </c>
      <c r="D166" s="6" t="s">
        <v>116</v>
      </c>
      <c r="E166" s="113" t="s">
        <v>1176</v>
      </c>
      <c r="F166" s="14" t="s">
        <v>59</v>
      </c>
      <c r="G166" s="57">
        <f>DT166+DU166</f>
        <v>108025.40000000001</v>
      </c>
      <c r="H166" s="116"/>
      <c r="I166" s="117"/>
      <c r="J166" s="116"/>
      <c r="K166" s="80"/>
      <c r="L166" s="79"/>
      <c r="M166" s="79"/>
      <c r="AG166" s="79"/>
      <c r="AH166" s="79"/>
      <c r="DN166" s="274">
        <f>107786.6+1088.8</f>
        <v>108875.40000000001</v>
      </c>
      <c r="DT166" s="99">
        <f t="shared" si="2"/>
        <v>108875.40000000001</v>
      </c>
      <c r="DU166" s="270">
        <v>-850</v>
      </c>
    </row>
    <row r="167" spans="1:125" ht="48" customHeight="1" x14ac:dyDescent="0.3">
      <c r="A167" s="156" t="s">
        <v>141</v>
      </c>
      <c r="B167" s="13">
        <v>905</v>
      </c>
      <c r="C167" s="14" t="s">
        <v>123</v>
      </c>
      <c r="D167" s="6" t="s">
        <v>116</v>
      </c>
      <c r="E167" s="14" t="s">
        <v>79</v>
      </c>
      <c r="F167" s="14" t="s">
        <v>50</v>
      </c>
      <c r="G167" s="57">
        <f>G168</f>
        <v>1590.6999999999998</v>
      </c>
      <c r="H167" s="116"/>
      <c r="I167" s="117"/>
      <c r="J167" s="116"/>
      <c r="K167" s="80"/>
      <c r="L167" s="79"/>
      <c r="M167" s="79"/>
      <c r="AG167" s="79"/>
      <c r="AH167" s="79"/>
      <c r="DT167" s="99">
        <f t="shared" si="2"/>
        <v>0</v>
      </c>
    </row>
    <row r="168" spans="1:125" ht="42" customHeight="1" x14ac:dyDescent="0.3">
      <c r="A168" s="156" t="s">
        <v>1131</v>
      </c>
      <c r="B168" s="13">
        <v>905</v>
      </c>
      <c r="C168" s="14" t="s">
        <v>123</v>
      </c>
      <c r="D168" s="6" t="s">
        <v>116</v>
      </c>
      <c r="E168" s="14" t="s">
        <v>1132</v>
      </c>
      <c r="F168" s="14" t="s">
        <v>50</v>
      </c>
      <c r="G168" s="57">
        <f>G169</f>
        <v>1590.6999999999998</v>
      </c>
      <c r="H168" s="116"/>
      <c r="I168" s="117"/>
      <c r="J168" s="116"/>
      <c r="K168" s="80"/>
      <c r="L168" s="79"/>
      <c r="M168" s="79"/>
      <c r="AG168" s="79"/>
      <c r="AH168" s="79"/>
      <c r="DT168" s="99">
        <f t="shared" si="2"/>
        <v>0</v>
      </c>
    </row>
    <row r="169" spans="1:125" ht="48" hidden="1" customHeight="1" x14ac:dyDescent="0.3">
      <c r="A169" s="143" t="s">
        <v>692</v>
      </c>
      <c r="B169" s="13">
        <v>905</v>
      </c>
      <c r="C169" s="14" t="s">
        <v>123</v>
      </c>
      <c r="D169" s="6" t="s">
        <v>116</v>
      </c>
      <c r="E169" s="14" t="s">
        <v>1132</v>
      </c>
      <c r="F169" s="14" t="s">
        <v>50</v>
      </c>
      <c r="G169" s="57">
        <f>G170</f>
        <v>1590.6999999999998</v>
      </c>
      <c r="H169" s="116"/>
      <c r="I169" s="117"/>
      <c r="J169" s="116"/>
      <c r="K169" s="80"/>
      <c r="L169" s="79"/>
      <c r="M169" s="79"/>
      <c r="AG169" s="79"/>
      <c r="AH169" s="79"/>
      <c r="DT169" s="99">
        <f t="shared" si="2"/>
        <v>0</v>
      </c>
    </row>
    <row r="170" spans="1:125" ht="102.75" customHeight="1" x14ac:dyDescent="0.3">
      <c r="A170" s="143" t="s">
        <v>694</v>
      </c>
      <c r="B170" s="13">
        <v>905</v>
      </c>
      <c r="C170" s="14" t="s">
        <v>123</v>
      </c>
      <c r="D170" s="6" t="s">
        <v>116</v>
      </c>
      <c r="E170" s="14" t="s">
        <v>1133</v>
      </c>
      <c r="F170" s="14" t="s">
        <v>50</v>
      </c>
      <c r="G170" s="57">
        <f>G171+G172</f>
        <v>1590.6999999999998</v>
      </c>
      <c r="H170" s="116"/>
      <c r="I170" s="117"/>
      <c r="J170" s="116"/>
      <c r="K170" s="80"/>
      <c r="L170" s="79"/>
      <c r="M170" s="79"/>
      <c r="AG170" s="79"/>
      <c r="AH170" s="79"/>
      <c r="DT170" s="99">
        <f t="shared" si="2"/>
        <v>0</v>
      </c>
    </row>
    <row r="171" spans="1:125" ht="100.5" customHeight="1" x14ac:dyDescent="0.3">
      <c r="A171" s="143" t="s">
        <v>56</v>
      </c>
      <c r="B171" s="13">
        <v>905</v>
      </c>
      <c r="C171" s="14" t="s">
        <v>123</v>
      </c>
      <c r="D171" s="6" t="s">
        <v>116</v>
      </c>
      <c r="E171" s="14" t="s">
        <v>1133</v>
      </c>
      <c r="F171" s="14" t="s">
        <v>57</v>
      </c>
      <c r="G171" s="57">
        <f>DT171</f>
        <v>1325.6</v>
      </c>
      <c r="H171" s="116"/>
      <c r="I171" s="117"/>
      <c r="J171" s="116"/>
      <c r="K171" s="80"/>
      <c r="L171" s="79"/>
      <c r="M171" s="79"/>
      <c r="AG171" s="79"/>
      <c r="AH171" s="79"/>
      <c r="AN171" s="150">
        <v>12.95</v>
      </c>
      <c r="AO171" s="150">
        <v>1279</v>
      </c>
      <c r="AR171" s="194">
        <v>3.4000000000000002E-2</v>
      </c>
      <c r="BO171" s="238">
        <v>1509.5</v>
      </c>
      <c r="BP171" s="239">
        <v>15.3</v>
      </c>
      <c r="BT171" s="151">
        <v>0.2</v>
      </c>
      <c r="CQ171" s="99">
        <f>1509.7+16</f>
        <v>1525.7</v>
      </c>
      <c r="CT171" s="258">
        <v>4.25</v>
      </c>
      <c r="DN171" s="274">
        <f>1574.7+16-265.1</f>
        <v>1325.6</v>
      </c>
      <c r="DT171" s="99">
        <f t="shared" si="2"/>
        <v>1325.6</v>
      </c>
    </row>
    <row r="172" spans="1:125" ht="48" customHeight="1" x14ac:dyDescent="0.3">
      <c r="A172" s="143" t="s">
        <v>264</v>
      </c>
      <c r="B172" s="13">
        <v>905</v>
      </c>
      <c r="C172" s="14" t="s">
        <v>123</v>
      </c>
      <c r="D172" s="6" t="s">
        <v>116</v>
      </c>
      <c r="E172" s="14" t="s">
        <v>1133</v>
      </c>
      <c r="F172" s="14" t="s">
        <v>261</v>
      </c>
      <c r="G172" s="57">
        <f>DN172</f>
        <v>265.09999999999997</v>
      </c>
      <c r="H172" s="116"/>
      <c r="I172" s="117"/>
      <c r="J172" s="116"/>
      <c r="K172" s="80"/>
      <c r="L172" s="79"/>
      <c r="M172" s="79"/>
      <c r="AG172" s="79"/>
      <c r="AH172" s="79"/>
      <c r="AN172" s="150">
        <v>2.5499999999999998</v>
      </c>
      <c r="AO172" s="150">
        <v>255.8</v>
      </c>
      <c r="AR172" s="194">
        <v>-0.03</v>
      </c>
      <c r="CT172" s="258">
        <v>0.85</v>
      </c>
      <c r="DN172" s="274">
        <f>262.4+2.7</f>
        <v>265.09999999999997</v>
      </c>
      <c r="DT172" s="99">
        <f t="shared" si="2"/>
        <v>265.09999999999997</v>
      </c>
    </row>
    <row r="173" spans="1:125" ht="48" hidden="1" customHeight="1" x14ac:dyDescent="0.3">
      <c r="A173" s="156" t="s">
        <v>0</v>
      </c>
      <c r="B173" s="13">
        <v>905</v>
      </c>
      <c r="C173" s="14" t="s">
        <v>123</v>
      </c>
      <c r="D173" s="6" t="s">
        <v>116</v>
      </c>
      <c r="E173" s="15" t="s">
        <v>92</v>
      </c>
      <c r="F173" s="14" t="s">
        <v>50</v>
      </c>
      <c r="G173" s="57">
        <f>G174</f>
        <v>0</v>
      </c>
      <c r="H173" s="116"/>
      <c r="I173" s="117"/>
      <c r="J173" s="116"/>
      <c r="K173" s="80"/>
      <c r="L173" s="79"/>
      <c r="M173" s="79"/>
      <c r="AG173" s="79"/>
      <c r="AH173" s="79"/>
      <c r="DT173" s="99">
        <f t="shared" si="2"/>
        <v>0</v>
      </c>
    </row>
    <row r="174" spans="1:125" ht="48" hidden="1" customHeight="1" x14ac:dyDescent="0.3">
      <c r="A174" s="156" t="s">
        <v>2</v>
      </c>
      <c r="B174" s="13">
        <v>905</v>
      </c>
      <c r="C174" s="14" t="s">
        <v>123</v>
      </c>
      <c r="D174" s="6" t="s">
        <v>116</v>
      </c>
      <c r="E174" s="15" t="s">
        <v>26</v>
      </c>
      <c r="F174" s="14" t="s">
        <v>50</v>
      </c>
      <c r="G174" s="57">
        <f>G175</f>
        <v>0</v>
      </c>
      <c r="H174" s="116"/>
      <c r="I174" s="117"/>
      <c r="J174" s="116"/>
      <c r="K174" s="80"/>
      <c r="L174" s="79"/>
      <c r="M174" s="79"/>
      <c r="AG174" s="79"/>
      <c r="AH174" s="79"/>
      <c r="DT174" s="99">
        <f t="shared" si="2"/>
        <v>0</v>
      </c>
    </row>
    <row r="175" spans="1:125" ht="48" hidden="1" customHeight="1" x14ac:dyDescent="0.3">
      <c r="A175" s="176" t="s">
        <v>62</v>
      </c>
      <c r="B175" s="13">
        <v>905</v>
      </c>
      <c r="C175" s="14" t="s">
        <v>123</v>
      </c>
      <c r="D175" s="6" t="s">
        <v>116</v>
      </c>
      <c r="E175" s="31" t="s">
        <v>287</v>
      </c>
      <c r="F175" s="31" t="s">
        <v>50</v>
      </c>
      <c r="G175" s="57">
        <f>G176</f>
        <v>0</v>
      </c>
      <c r="H175" s="116"/>
      <c r="I175" s="117"/>
      <c r="J175" s="116"/>
      <c r="K175" s="80"/>
      <c r="L175" s="79"/>
      <c r="M175" s="79"/>
      <c r="AG175" s="79"/>
      <c r="AH175" s="79"/>
      <c r="DT175" s="99">
        <f t="shared" si="2"/>
        <v>0</v>
      </c>
    </row>
    <row r="176" spans="1:125" ht="40.5" hidden="1" customHeight="1" x14ac:dyDescent="0.3">
      <c r="A176" s="176" t="s">
        <v>286</v>
      </c>
      <c r="B176" s="13">
        <v>905</v>
      </c>
      <c r="C176" s="14" t="s">
        <v>123</v>
      </c>
      <c r="D176" s="6" t="s">
        <v>116</v>
      </c>
      <c r="E176" s="31" t="s">
        <v>288</v>
      </c>
      <c r="F176" s="31" t="s">
        <v>50</v>
      </c>
      <c r="G176" s="57">
        <f>G177+G178</f>
        <v>0</v>
      </c>
      <c r="H176" s="116"/>
      <c r="I176" s="117"/>
      <c r="J176" s="116"/>
      <c r="K176" s="80"/>
      <c r="L176" s="79"/>
      <c r="M176" s="79"/>
      <c r="AG176" s="79"/>
      <c r="AH176" s="79"/>
      <c r="DT176" s="99">
        <f t="shared" si="2"/>
        <v>0</v>
      </c>
    </row>
    <row r="177" spans="1:124" ht="60.75" hidden="1" customHeight="1" x14ac:dyDescent="0.3">
      <c r="A177" s="143" t="s">
        <v>56</v>
      </c>
      <c r="B177" s="13">
        <v>905</v>
      </c>
      <c r="C177" s="14" t="s">
        <v>123</v>
      </c>
      <c r="D177" s="6" t="s">
        <v>116</v>
      </c>
      <c r="E177" s="14" t="s">
        <v>288</v>
      </c>
      <c r="F177" s="14" t="s">
        <v>57</v>
      </c>
      <c r="G177" s="57">
        <v>0</v>
      </c>
      <c r="H177" s="116"/>
      <c r="I177" s="117"/>
      <c r="J177" s="116"/>
      <c r="K177" s="80"/>
      <c r="L177" s="79"/>
      <c r="M177" s="79"/>
      <c r="AG177" s="79"/>
      <c r="AH177" s="79"/>
      <c r="CF177" s="194">
        <v>315.5</v>
      </c>
      <c r="CY177" s="194">
        <f>480-111.9983</f>
        <v>368.00170000000003</v>
      </c>
      <c r="DT177" s="99">
        <f t="shared" si="2"/>
        <v>0</v>
      </c>
    </row>
    <row r="178" spans="1:124" ht="48" hidden="1" customHeight="1" x14ac:dyDescent="0.3">
      <c r="A178" s="143" t="s">
        <v>264</v>
      </c>
      <c r="B178" s="13">
        <v>905</v>
      </c>
      <c r="C178" s="14" t="s">
        <v>123</v>
      </c>
      <c r="D178" s="6" t="s">
        <v>116</v>
      </c>
      <c r="E178" s="14" t="s">
        <v>288</v>
      </c>
      <c r="F178" s="14" t="s">
        <v>261</v>
      </c>
      <c r="G178" s="57">
        <v>0</v>
      </c>
      <c r="H178" s="116"/>
      <c r="I178" s="117"/>
      <c r="J178" s="116"/>
      <c r="K178" s="80"/>
      <c r="L178" s="79"/>
      <c r="M178" s="79"/>
      <c r="AG178" s="79"/>
      <c r="AH178" s="79"/>
      <c r="CF178" s="194">
        <v>96.5</v>
      </c>
      <c r="CY178" s="194">
        <v>111.9983</v>
      </c>
      <c r="DT178" s="99">
        <f t="shared" si="2"/>
        <v>0</v>
      </c>
    </row>
    <row r="179" spans="1:124" x14ac:dyDescent="0.3">
      <c r="A179" s="155" t="s">
        <v>126</v>
      </c>
      <c r="B179" s="12">
        <v>905</v>
      </c>
      <c r="C179" s="9" t="s">
        <v>123</v>
      </c>
      <c r="D179" s="19" t="s">
        <v>117</v>
      </c>
      <c r="E179" s="9" t="s">
        <v>49</v>
      </c>
      <c r="F179" s="9" t="s">
        <v>50</v>
      </c>
      <c r="G179" s="68">
        <f>G180+G204+G209</f>
        <v>9029.7999999999993</v>
      </c>
      <c r="H179" s="116"/>
      <c r="I179" s="117"/>
      <c r="J179" s="116"/>
      <c r="K179" s="80"/>
      <c r="L179" s="79"/>
      <c r="M179" s="79"/>
      <c r="AG179" s="79"/>
      <c r="AH179" s="79"/>
      <c r="DT179" s="99">
        <f t="shared" si="2"/>
        <v>0</v>
      </c>
    </row>
    <row r="180" spans="1:124" ht="47.25" customHeight="1" x14ac:dyDescent="0.3">
      <c r="A180" s="143" t="s">
        <v>38</v>
      </c>
      <c r="B180" s="13">
        <v>905</v>
      </c>
      <c r="C180" s="14" t="s">
        <v>123</v>
      </c>
      <c r="D180" s="6" t="s">
        <v>117</v>
      </c>
      <c r="E180" s="15" t="s">
        <v>400</v>
      </c>
      <c r="F180" s="14" t="s">
        <v>50</v>
      </c>
      <c r="G180" s="57">
        <f>G181</f>
        <v>9029.7999999999993</v>
      </c>
      <c r="H180" s="116"/>
      <c r="I180" s="117"/>
      <c r="J180" s="116"/>
      <c r="K180" s="80"/>
      <c r="L180" s="79"/>
      <c r="M180" s="79"/>
      <c r="AG180" s="79"/>
      <c r="AH180" s="79"/>
      <c r="DT180" s="99">
        <f t="shared" si="2"/>
        <v>0</v>
      </c>
    </row>
    <row r="181" spans="1:124" ht="56.25" x14ac:dyDescent="0.3">
      <c r="A181" s="143" t="s">
        <v>138</v>
      </c>
      <c r="B181" s="13">
        <v>905</v>
      </c>
      <c r="C181" s="14" t="s">
        <v>123</v>
      </c>
      <c r="D181" s="6" t="s">
        <v>117</v>
      </c>
      <c r="E181" s="15" t="s">
        <v>51</v>
      </c>
      <c r="F181" s="14" t="s">
        <v>50</v>
      </c>
      <c r="G181" s="57">
        <f>G182+G198</f>
        <v>9029.7999999999993</v>
      </c>
      <c r="H181" s="116"/>
      <c r="I181" s="117"/>
      <c r="J181" s="116"/>
      <c r="K181" s="80"/>
      <c r="L181" s="79"/>
      <c r="M181" s="79"/>
      <c r="AG181" s="79"/>
      <c r="AH181" s="79"/>
      <c r="DT181" s="99">
        <f t="shared" si="2"/>
        <v>0</v>
      </c>
    </row>
    <row r="182" spans="1:124" ht="37.5" x14ac:dyDescent="0.3">
      <c r="A182" s="143" t="s">
        <v>52</v>
      </c>
      <c r="B182" s="13">
        <v>905</v>
      </c>
      <c r="C182" s="14" t="s">
        <v>123</v>
      </c>
      <c r="D182" s="6" t="s">
        <v>117</v>
      </c>
      <c r="E182" s="15" t="s">
        <v>53</v>
      </c>
      <c r="F182" s="14" t="s">
        <v>50</v>
      </c>
      <c r="G182" s="57">
        <f>G183+G187+G189+G193+G196</f>
        <v>9029.7999999999993</v>
      </c>
      <c r="H182" s="116"/>
      <c r="I182" s="117"/>
      <c r="J182" s="116"/>
      <c r="K182" s="80"/>
      <c r="L182" s="79"/>
      <c r="M182" s="79"/>
      <c r="AG182" s="79"/>
      <c r="AH182" s="79"/>
      <c r="DT182" s="99">
        <f t="shared" si="2"/>
        <v>0</v>
      </c>
    </row>
    <row r="183" spans="1:124" hidden="1" x14ac:dyDescent="0.3">
      <c r="A183" s="143" t="s">
        <v>74</v>
      </c>
      <c r="B183" s="13">
        <v>905</v>
      </c>
      <c r="C183" s="14" t="s">
        <v>123</v>
      </c>
      <c r="D183" s="6" t="s">
        <v>117</v>
      </c>
      <c r="E183" s="15" t="s">
        <v>42</v>
      </c>
      <c r="F183" s="14" t="s">
        <v>50</v>
      </c>
      <c r="G183" s="57">
        <f>G184+G185+G186</f>
        <v>0</v>
      </c>
      <c r="H183" s="116"/>
      <c r="I183" s="117"/>
      <c r="J183" s="116"/>
      <c r="K183" s="80"/>
      <c r="L183" s="79"/>
      <c r="M183" s="79"/>
      <c r="AG183" s="79"/>
      <c r="AH183" s="79"/>
      <c r="DT183" s="99">
        <f t="shared" si="2"/>
        <v>0</v>
      </c>
    </row>
    <row r="184" spans="1:124" ht="93.75" hidden="1" x14ac:dyDescent="0.3">
      <c r="A184" s="143" t="s">
        <v>56</v>
      </c>
      <c r="B184" s="13">
        <v>905</v>
      </c>
      <c r="C184" s="14" t="s">
        <v>123</v>
      </c>
      <c r="D184" s="6" t="s">
        <v>117</v>
      </c>
      <c r="E184" s="15" t="s">
        <v>42</v>
      </c>
      <c r="F184" s="15" t="s">
        <v>57</v>
      </c>
      <c r="G184" s="72">
        <v>0</v>
      </c>
      <c r="H184" s="116"/>
      <c r="I184" s="117"/>
      <c r="J184" s="116"/>
      <c r="K184" s="80"/>
      <c r="L184" s="79">
        <v>-5128.5</v>
      </c>
      <c r="M184" s="79"/>
      <c r="AG184" s="79"/>
      <c r="AH184" s="79"/>
      <c r="DT184" s="99">
        <f t="shared" si="2"/>
        <v>0</v>
      </c>
    </row>
    <row r="185" spans="1:124" ht="37.5" hidden="1" x14ac:dyDescent="0.3">
      <c r="A185" s="143" t="s">
        <v>425</v>
      </c>
      <c r="B185" s="13">
        <v>905</v>
      </c>
      <c r="C185" s="14" t="s">
        <v>123</v>
      </c>
      <c r="D185" s="6" t="s">
        <v>117</v>
      </c>
      <c r="E185" s="15" t="s">
        <v>42</v>
      </c>
      <c r="F185" s="15" t="s">
        <v>59</v>
      </c>
      <c r="G185" s="57">
        <v>0</v>
      </c>
      <c r="H185" s="116"/>
      <c r="I185" s="117"/>
      <c r="J185" s="116"/>
      <c r="K185" s="80"/>
      <c r="L185" s="79">
        <v>-896.4</v>
      </c>
      <c r="M185" s="79"/>
      <c r="AG185" s="79"/>
      <c r="AH185" s="79"/>
      <c r="DT185" s="99">
        <f t="shared" si="2"/>
        <v>0</v>
      </c>
    </row>
    <row r="186" spans="1:124" hidden="1" x14ac:dyDescent="0.3">
      <c r="A186" s="143" t="s">
        <v>60</v>
      </c>
      <c r="B186" s="13">
        <v>905</v>
      </c>
      <c r="C186" s="14" t="s">
        <v>123</v>
      </c>
      <c r="D186" s="6" t="s">
        <v>117</v>
      </c>
      <c r="E186" s="15" t="s">
        <v>42</v>
      </c>
      <c r="F186" s="15" t="s">
        <v>61</v>
      </c>
      <c r="G186" s="57">
        <v>0</v>
      </c>
      <c r="H186" s="116"/>
      <c r="I186" s="117"/>
      <c r="J186" s="116"/>
      <c r="K186" s="80"/>
      <c r="L186" s="79">
        <v>-77.3</v>
      </c>
      <c r="M186" s="79"/>
      <c r="AG186" s="79"/>
      <c r="AH186" s="79"/>
      <c r="DT186" s="99">
        <f t="shared" si="2"/>
        <v>0</v>
      </c>
    </row>
    <row r="187" spans="1:124" ht="37.5" hidden="1" x14ac:dyDescent="0.3">
      <c r="A187" s="162" t="s">
        <v>374</v>
      </c>
      <c r="B187" s="13">
        <v>905</v>
      </c>
      <c r="C187" s="14" t="s">
        <v>123</v>
      </c>
      <c r="D187" s="6" t="s">
        <v>117</v>
      </c>
      <c r="E187" s="15" t="s">
        <v>506</v>
      </c>
      <c r="F187" s="15" t="s">
        <v>50</v>
      </c>
      <c r="G187" s="57">
        <v>0</v>
      </c>
      <c r="H187" s="116"/>
      <c r="I187" s="117"/>
      <c r="J187" s="116"/>
      <c r="K187" s="80"/>
      <c r="L187" s="79"/>
      <c r="M187" s="79"/>
      <c r="AG187" s="79"/>
      <c r="AH187" s="79"/>
      <c r="DT187" s="99">
        <f t="shared" si="2"/>
        <v>0</v>
      </c>
    </row>
    <row r="188" spans="1:124" ht="93.75" hidden="1" x14ac:dyDescent="0.3">
      <c r="A188" s="143" t="s">
        <v>56</v>
      </c>
      <c r="B188" s="13">
        <v>905</v>
      </c>
      <c r="C188" s="14" t="s">
        <v>123</v>
      </c>
      <c r="D188" s="6" t="s">
        <v>117</v>
      </c>
      <c r="E188" s="15" t="s">
        <v>506</v>
      </c>
      <c r="F188" s="15" t="s">
        <v>57</v>
      </c>
      <c r="G188" s="57">
        <v>0</v>
      </c>
      <c r="H188" s="116"/>
      <c r="I188" s="117"/>
      <c r="J188" s="116"/>
      <c r="K188" s="80"/>
      <c r="L188" s="79"/>
      <c r="M188" s="79"/>
      <c r="AG188" s="79"/>
      <c r="AH188" s="79"/>
      <c r="DT188" s="99">
        <f t="shared" si="2"/>
        <v>0</v>
      </c>
    </row>
    <row r="189" spans="1:124" x14ac:dyDescent="0.3">
      <c r="A189" s="143" t="s">
        <v>544</v>
      </c>
      <c r="B189" s="13">
        <v>905</v>
      </c>
      <c r="C189" s="14" t="s">
        <v>123</v>
      </c>
      <c r="D189" s="6" t="s">
        <v>117</v>
      </c>
      <c r="E189" s="15" t="s">
        <v>578</v>
      </c>
      <c r="F189" s="15" t="s">
        <v>50</v>
      </c>
      <c r="G189" s="57">
        <f>G190+G191+G192</f>
        <v>8959</v>
      </c>
      <c r="H189" s="116"/>
      <c r="I189" s="117"/>
      <c r="J189" s="116"/>
      <c r="K189" s="80"/>
      <c r="L189" s="79"/>
      <c r="M189" s="79"/>
      <c r="AG189" s="79"/>
      <c r="AH189" s="79"/>
      <c r="DT189" s="99">
        <f t="shared" si="2"/>
        <v>0</v>
      </c>
    </row>
    <row r="190" spans="1:124" ht="93.75" x14ac:dyDescent="0.3">
      <c r="A190" s="143" t="s">
        <v>56</v>
      </c>
      <c r="B190" s="13">
        <v>905</v>
      </c>
      <c r="C190" s="14" t="s">
        <v>123</v>
      </c>
      <c r="D190" s="6" t="s">
        <v>117</v>
      </c>
      <c r="E190" s="15" t="s">
        <v>578</v>
      </c>
      <c r="F190" s="15" t="s">
        <v>57</v>
      </c>
      <c r="G190" s="57">
        <f>DT190</f>
        <v>7705.8</v>
      </c>
      <c r="H190" s="125">
        <v>5879.7</v>
      </c>
      <c r="I190" s="126"/>
      <c r="J190" s="125"/>
      <c r="K190" s="80"/>
      <c r="L190" s="79">
        <v>5128.5</v>
      </c>
      <c r="M190" s="79"/>
      <c r="AD190">
        <v>-600</v>
      </c>
      <c r="AG190" s="79"/>
      <c r="AH190" s="101">
        <v>1192.1981800000001</v>
      </c>
      <c r="AK190" s="79">
        <v>5297.8</v>
      </c>
      <c r="AX190" s="101">
        <v>2.879</v>
      </c>
      <c r="BK190" s="226">
        <v>-40</v>
      </c>
      <c r="BM190" s="100">
        <v>6312.8</v>
      </c>
      <c r="CP190" s="259">
        <v>275.39999999999998</v>
      </c>
      <c r="CS190" s="264">
        <v>7116.3</v>
      </c>
      <c r="DO190" s="274">
        <v>7705.8</v>
      </c>
      <c r="DT190" s="99">
        <f t="shared" si="2"/>
        <v>7705.8</v>
      </c>
    </row>
    <row r="191" spans="1:124" ht="40.5" customHeight="1" x14ac:dyDescent="0.3">
      <c r="A191" s="143" t="s">
        <v>425</v>
      </c>
      <c r="B191" s="13">
        <v>905</v>
      </c>
      <c r="C191" s="14" t="s">
        <v>123</v>
      </c>
      <c r="D191" s="6" t="s">
        <v>117</v>
      </c>
      <c r="E191" s="15" t="s">
        <v>578</v>
      </c>
      <c r="F191" s="15" t="s">
        <v>59</v>
      </c>
      <c r="G191" s="57">
        <f>DT191</f>
        <v>1253.1999999999998</v>
      </c>
      <c r="H191" s="125">
        <v>1078.0999999999999</v>
      </c>
      <c r="I191" s="126"/>
      <c r="J191" s="125"/>
      <c r="K191" s="80"/>
      <c r="L191" s="79">
        <v>896.4</v>
      </c>
      <c r="M191" s="79">
        <v>15.8</v>
      </c>
      <c r="T191">
        <v>30</v>
      </c>
      <c r="W191">
        <v>5</v>
      </c>
      <c r="AC191">
        <v>25</v>
      </c>
      <c r="AG191" s="79"/>
      <c r="AH191" s="79">
        <f>51+20.4</f>
        <v>71.400000000000006</v>
      </c>
      <c r="AK191" s="79">
        <v>980.8</v>
      </c>
      <c r="AX191" s="101">
        <v>-2.879</v>
      </c>
      <c r="BJ191" s="194">
        <v>60.8</v>
      </c>
      <c r="BL191" s="194">
        <v>-4.3</v>
      </c>
      <c r="BM191" s="100">
        <v>1026.4000000000001</v>
      </c>
      <c r="BX191" s="151">
        <v>40.200000000000003</v>
      </c>
      <c r="CH191" s="258">
        <v>104.2</v>
      </c>
      <c r="CP191" s="259">
        <v>-10.7</v>
      </c>
      <c r="CS191" s="264">
        <f>973.7+198</f>
        <v>1171.7</v>
      </c>
      <c r="CU191" s="258">
        <v>12.3</v>
      </c>
      <c r="CZ191" s="194">
        <v>60</v>
      </c>
      <c r="DP191" s="99">
        <f>883+85.8+6.1+6.8</f>
        <v>981.69999999999993</v>
      </c>
      <c r="DQ191" s="99">
        <v>53.7</v>
      </c>
      <c r="DR191" s="99">
        <v>217.8</v>
      </c>
      <c r="DT191" s="99">
        <f t="shared" si="2"/>
        <v>1253.1999999999998</v>
      </c>
    </row>
    <row r="192" spans="1:124" ht="17.25" customHeight="1" x14ac:dyDescent="0.3">
      <c r="A192" s="143" t="s">
        <v>60</v>
      </c>
      <c r="B192" s="13">
        <v>905</v>
      </c>
      <c r="C192" s="14" t="s">
        <v>123</v>
      </c>
      <c r="D192" s="6" t="s">
        <v>117</v>
      </c>
      <c r="E192" s="15" t="s">
        <v>578</v>
      </c>
      <c r="F192" s="15" t="s">
        <v>61</v>
      </c>
      <c r="G192" s="57">
        <v>0</v>
      </c>
      <c r="H192" s="116">
        <v>74.099999999999994</v>
      </c>
      <c r="I192" s="117"/>
      <c r="J192" s="116"/>
      <c r="K192" s="80"/>
      <c r="L192" s="79">
        <v>77.3</v>
      </c>
      <c r="M192" s="79"/>
      <c r="AE192">
        <v>-0.309</v>
      </c>
      <c r="AG192" s="79"/>
      <c r="AH192" s="79"/>
      <c r="AI192">
        <v>2.12</v>
      </c>
      <c r="AK192" s="79">
        <v>0</v>
      </c>
      <c r="BM192" s="100">
        <v>72.400000000000006</v>
      </c>
      <c r="CL192" s="194">
        <v>-0.55700000000000005</v>
      </c>
      <c r="CS192" s="264">
        <v>70.8</v>
      </c>
      <c r="DI192" s="270">
        <f>17.582-17.8</f>
        <v>-0.21799999999999997</v>
      </c>
      <c r="DT192" s="99">
        <f t="shared" si="2"/>
        <v>0</v>
      </c>
    </row>
    <row r="193" spans="1:124" ht="37.5" x14ac:dyDescent="0.3">
      <c r="A193" s="162" t="s">
        <v>374</v>
      </c>
      <c r="B193" s="13">
        <v>905</v>
      </c>
      <c r="C193" s="14" t="s">
        <v>123</v>
      </c>
      <c r="D193" s="6" t="s">
        <v>117</v>
      </c>
      <c r="E193" s="15" t="s">
        <v>621</v>
      </c>
      <c r="F193" s="15" t="s">
        <v>50</v>
      </c>
      <c r="G193" s="72">
        <f>G194+G195</f>
        <v>70.8</v>
      </c>
      <c r="H193" s="116"/>
      <c r="I193" s="117"/>
      <c r="J193" s="116"/>
      <c r="K193" s="80"/>
      <c r="L193" s="79"/>
      <c r="M193" s="79"/>
      <c r="AG193" s="79"/>
      <c r="AH193" s="79"/>
      <c r="DT193" s="99">
        <f t="shared" si="2"/>
        <v>0</v>
      </c>
    </row>
    <row r="194" spans="1:124" ht="93.75" hidden="1" x14ac:dyDescent="0.3">
      <c r="A194" s="143" t="s">
        <v>56</v>
      </c>
      <c r="B194" s="13">
        <v>905</v>
      </c>
      <c r="C194" s="14" t="s">
        <v>123</v>
      </c>
      <c r="D194" s="6" t="s">
        <v>117</v>
      </c>
      <c r="E194" s="15" t="s">
        <v>621</v>
      </c>
      <c r="F194" s="15" t="s">
        <v>57</v>
      </c>
      <c r="G194" s="72">
        <v>0</v>
      </c>
      <c r="H194" s="116"/>
      <c r="I194" s="117"/>
      <c r="J194" s="116"/>
      <c r="K194" s="80"/>
      <c r="L194" s="79"/>
      <c r="M194" s="79"/>
      <c r="AG194" s="79"/>
      <c r="AH194" s="79"/>
      <c r="AK194" s="79">
        <v>0</v>
      </c>
      <c r="AP194" s="151">
        <v>371.5</v>
      </c>
      <c r="BY194" s="151">
        <v>279.10000000000002</v>
      </c>
      <c r="CI194" s="194">
        <v>84.6</v>
      </c>
      <c r="CW194" s="268">
        <v>361.5</v>
      </c>
      <c r="DT194" s="99">
        <f t="shared" si="2"/>
        <v>0</v>
      </c>
    </row>
    <row r="195" spans="1:124" x14ac:dyDescent="0.3">
      <c r="A195" s="143" t="s">
        <v>60</v>
      </c>
      <c r="B195" s="13">
        <v>905</v>
      </c>
      <c r="C195" s="14" t="s">
        <v>123</v>
      </c>
      <c r="D195" s="6" t="s">
        <v>117</v>
      </c>
      <c r="E195" s="15" t="s">
        <v>621</v>
      </c>
      <c r="F195" s="15" t="s">
        <v>61</v>
      </c>
      <c r="G195" s="72">
        <f>DT195</f>
        <v>70.8</v>
      </c>
      <c r="H195" s="116"/>
      <c r="I195" s="117"/>
      <c r="J195" s="116"/>
      <c r="K195" s="80"/>
      <c r="L195" s="79"/>
      <c r="M195" s="79"/>
      <c r="AG195" s="79"/>
      <c r="AH195" s="79"/>
      <c r="AK195" s="79">
        <v>75.7</v>
      </c>
      <c r="DQ195" s="99">
        <v>70.8</v>
      </c>
      <c r="DT195" s="99">
        <f t="shared" si="2"/>
        <v>70.8</v>
      </c>
    </row>
    <row r="196" spans="1:124" ht="56.25" hidden="1" x14ac:dyDescent="0.3">
      <c r="A196" s="162" t="s">
        <v>378</v>
      </c>
      <c r="B196" s="13">
        <v>905</v>
      </c>
      <c r="C196" s="14" t="s">
        <v>123</v>
      </c>
      <c r="D196" s="6" t="s">
        <v>117</v>
      </c>
      <c r="E196" s="15" t="s">
        <v>635</v>
      </c>
      <c r="F196" s="15" t="s">
        <v>50</v>
      </c>
      <c r="G196" s="72">
        <f>G197</f>
        <v>0</v>
      </c>
      <c r="H196" s="116"/>
      <c r="I196" s="117"/>
      <c r="J196" s="116"/>
      <c r="K196" s="80"/>
      <c r="L196" s="79"/>
      <c r="M196" s="79"/>
      <c r="AG196" s="79"/>
      <c r="AH196" s="79"/>
      <c r="DT196" s="99">
        <f t="shared" si="2"/>
        <v>0</v>
      </c>
    </row>
    <row r="197" spans="1:124" ht="93.75" hidden="1" x14ac:dyDescent="0.3">
      <c r="A197" s="143" t="s">
        <v>56</v>
      </c>
      <c r="B197" s="13">
        <v>905</v>
      </c>
      <c r="C197" s="14" t="s">
        <v>123</v>
      </c>
      <c r="D197" s="6" t="s">
        <v>117</v>
      </c>
      <c r="E197" s="15" t="s">
        <v>635</v>
      </c>
      <c r="F197" s="15" t="s">
        <v>57</v>
      </c>
      <c r="G197" s="72">
        <v>0</v>
      </c>
      <c r="H197" s="116"/>
      <c r="I197" s="117"/>
      <c r="J197" s="116"/>
      <c r="K197" s="80"/>
      <c r="L197" s="79"/>
      <c r="M197" s="79"/>
      <c r="AG197" s="79"/>
      <c r="AH197" s="79"/>
      <c r="AK197" s="79">
        <v>0</v>
      </c>
      <c r="DT197" s="99">
        <f t="shared" si="2"/>
        <v>0</v>
      </c>
    </row>
    <row r="198" spans="1:124" hidden="1" x14ac:dyDescent="0.3">
      <c r="A198" s="143" t="s">
        <v>62</v>
      </c>
      <c r="B198" s="13">
        <v>905</v>
      </c>
      <c r="C198" s="14" t="s">
        <v>123</v>
      </c>
      <c r="D198" s="6" t="s">
        <v>117</v>
      </c>
      <c r="E198" s="15" t="s">
        <v>63</v>
      </c>
      <c r="F198" s="15" t="s">
        <v>50</v>
      </c>
      <c r="G198" s="57">
        <f>G202+G199</f>
        <v>0</v>
      </c>
      <c r="H198" s="116"/>
      <c r="I198" s="117"/>
      <c r="J198" s="116"/>
      <c r="K198" s="80"/>
      <c r="L198" s="79"/>
      <c r="M198" s="79"/>
      <c r="AG198" s="79"/>
      <c r="AH198" s="79"/>
      <c r="DT198" s="99">
        <f t="shared" si="2"/>
        <v>0</v>
      </c>
    </row>
    <row r="199" spans="1:124" ht="31.5" hidden="1" customHeight="1" outlineLevel="1" x14ac:dyDescent="0.3">
      <c r="A199" s="143" t="s">
        <v>75</v>
      </c>
      <c r="B199" s="13">
        <v>905</v>
      </c>
      <c r="C199" s="14" t="s">
        <v>123</v>
      </c>
      <c r="D199" s="6" t="s">
        <v>117</v>
      </c>
      <c r="E199" s="14" t="s">
        <v>40</v>
      </c>
      <c r="F199" s="15" t="s">
        <v>50</v>
      </c>
      <c r="G199" s="57">
        <f>G200+G201</f>
        <v>0</v>
      </c>
      <c r="H199" s="116"/>
      <c r="I199" s="117"/>
      <c r="J199" s="116"/>
      <c r="K199" s="80"/>
      <c r="L199" s="79"/>
      <c r="M199" s="79"/>
      <c r="AG199" s="79"/>
      <c r="AH199" s="79"/>
      <c r="DT199" s="99">
        <f t="shared" si="2"/>
        <v>0</v>
      </c>
    </row>
    <row r="200" spans="1:124" ht="99" hidden="1" customHeight="1" outlineLevel="1" x14ac:dyDescent="0.3">
      <c r="A200" s="143" t="s">
        <v>56</v>
      </c>
      <c r="B200" s="13">
        <v>905</v>
      </c>
      <c r="C200" s="14" t="s">
        <v>123</v>
      </c>
      <c r="D200" s="6" t="s">
        <v>117</v>
      </c>
      <c r="E200" s="14" t="s">
        <v>40</v>
      </c>
      <c r="F200" s="15" t="s">
        <v>57</v>
      </c>
      <c r="G200" s="72"/>
      <c r="H200" s="116"/>
      <c r="I200" s="117"/>
      <c r="J200" s="116"/>
      <c r="K200" s="80"/>
      <c r="L200" s="79"/>
      <c r="M200" s="79"/>
      <c r="AG200" s="79"/>
      <c r="AH200" s="79"/>
      <c r="DT200" s="99">
        <f t="shared" si="2"/>
        <v>0</v>
      </c>
    </row>
    <row r="201" spans="1:124" ht="37.5" hidden="1" outlineLevel="1" x14ac:dyDescent="0.3">
      <c r="A201" s="143" t="s">
        <v>425</v>
      </c>
      <c r="B201" s="13">
        <v>905</v>
      </c>
      <c r="C201" s="14" t="s">
        <v>123</v>
      </c>
      <c r="D201" s="6" t="s">
        <v>117</v>
      </c>
      <c r="E201" s="14" t="s">
        <v>40</v>
      </c>
      <c r="F201" s="15" t="s">
        <v>59</v>
      </c>
      <c r="G201" s="57"/>
      <c r="H201" s="116"/>
      <c r="I201" s="117"/>
      <c r="J201" s="116"/>
      <c r="K201" s="80"/>
      <c r="L201" s="79"/>
      <c r="M201" s="79"/>
      <c r="AG201" s="79"/>
      <c r="AH201" s="79"/>
      <c r="DT201" s="99">
        <f t="shared" si="2"/>
        <v>0</v>
      </c>
    </row>
    <row r="202" spans="1:124" ht="56.25" hidden="1" x14ac:dyDescent="0.3">
      <c r="A202" s="143" t="s">
        <v>490</v>
      </c>
      <c r="B202" s="13">
        <v>905</v>
      </c>
      <c r="C202" s="14" t="s">
        <v>123</v>
      </c>
      <c r="D202" s="6" t="s">
        <v>117</v>
      </c>
      <c r="E202" s="15" t="s">
        <v>491</v>
      </c>
      <c r="F202" s="15" t="s">
        <v>50</v>
      </c>
      <c r="G202" s="57">
        <f>G203</f>
        <v>0</v>
      </c>
      <c r="H202" s="116"/>
      <c r="I202" s="117"/>
      <c r="J202" s="116"/>
      <c r="K202" s="80"/>
      <c r="L202" s="79"/>
      <c r="M202" s="79"/>
      <c r="AG202" s="79"/>
      <c r="AH202" s="79"/>
      <c r="DT202" s="99">
        <f t="shared" ref="DT202:DT265" si="3">DN202+DO202+DP202+DQ202+DR202+DS202</f>
        <v>0</v>
      </c>
    </row>
    <row r="203" spans="1:124" ht="44.25" hidden="1" customHeight="1" x14ac:dyDescent="0.3">
      <c r="A203" s="143" t="s">
        <v>264</v>
      </c>
      <c r="B203" s="13">
        <v>905</v>
      </c>
      <c r="C203" s="14" t="s">
        <v>123</v>
      </c>
      <c r="D203" s="6" t="s">
        <v>117</v>
      </c>
      <c r="E203" s="15" t="s">
        <v>491</v>
      </c>
      <c r="F203" s="15" t="s">
        <v>261</v>
      </c>
      <c r="G203" s="57">
        <v>0</v>
      </c>
      <c r="H203" s="116">
        <v>1821.8</v>
      </c>
      <c r="I203" s="117"/>
      <c r="J203" s="116"/>
      <c r="K203" s="80"/>
      <c r="L203" s="79"/>
      <c r="M203" s="79"/>
      <c r="AG203" s="79"/>
      <c r="AH203" s="79"/>
      <c r="AK203" s="79">
        <v>1146.7</v>
      </c>
      <c r="BL203" s="194">
        <v>-630</v>
      </c>
      <c r="BN203" s="237">
        <v>1821.8</v>
      </c>
      <c r="CV203" s="268">
        <v>200</v>
      </c>
      <c r="DT203" s="99">
        <f t="shared" si="3"/>
        <v>0</v>
      </c>
    </row>
    <row r="204" spans="1:124" ht="40.5" hidden="1" customHeight="1" x14ac:dyDescent="0.3">
      <c r="A204" s="156" t="s">
        <v>161</v>
      </c>
      <c r="B204" s="13">
        <v>905</v>
      </c>
      <c r="C204" s="14" t="s">
        <v>123</v>
      </c>
      <c r="D204" s="14" t="s">
        <v>117</v>
      </c>
      <c r="E204" s="15" t="s">
        <v>99</v>
      </c>
      <c r="F204" s="14" t="s">
        <v>50</v>
      </c>
      <c r="G204" s="57">
        <f>G205</f>
        <v>0</v>
      </c>
      <c r="H204" s="116"/>
      <c r="I204" s="117"/>
      <c r="J204" s="116"/>
      <c r="K204" s="80"/>
      <c r="L204" s="79"/>
      <c r="M204" s="79"/>
      <c r="AG204" s="79"/>
      <c r="AH204" s="79"/>
      <c r="DT204" s="99">
        <f t="shared" si="3"/>
        <v>0</v>
      </c>
    </row>
    <row r="205" spans="1:124" ht="56.25" hidden="1" x14ac:dyDescent="0.3">
      <c r="A205" s="156" t="s">
        <v>11</v>
      </c>
      <c r="B205" s="13">
        <v>905</v>
      </c>
      <c r="C205" s="14" t="s">
        <v>123</v>
      </c>
      <c r="D205" s="14" t="s">
        <v>117</v>
      </c>
      <c r="E205" s="15" t="s">
        <v>29</v>
      </c>
      <c r="F205" s="14" t="s">
        <v>50</v>
      </c>
      <c r="G205" s="57">
        <f>G206</f>
        <v>0</v>
      </c>
      <c r="H205" s="116"/>
      <c r="I205" s="117"/>
      <c r="J205" s="116"/>
      <c r="K205" s="80"/>
      <c r="L205" s="79"/>
      <c r="M205" s="79"/>
      <c r="AG205" s="79"/>
      <c r="AH205" s="79"/>
      <c r="DT205" s="99">
        <f t="shared" si="3"/>
        <v>0</v>
      </c>
    </row>
    <row r="206" spans="1:124" ht="75" hidden="1" x14ac:dyDescent="0.3">
      <c r="A206" s="156" t="s">
        <v>249</v>
      </c>
      <c r="B206" s="13">
        <v>905</v>
      </c>
      <c r="C206" s="14" t="s">
        <v>123</v>
      </c>
      <c r="D206" s="14" t="s">
        <v>117</v>
      </c>
      <c r="E206" s="15" t="s">
        <v>254</v>
      </c>
      <c r="F206" s="14" t="s">
        <v>50</v>
      </c>
      <c r="G206" s="57">
        <f>G207</f>
        <v>0</v>
      </c>
      <c r="H206" s="116"/>
      <c r="I206" s="117"/>
      <c r="J206" s="116"/>
      <c r="K206" s="80"/>
      <c r="L206" s="79"/>
      <c r="M206" s="79"/>
      <c r="AG206" s="79"/>
      <c r="AH206" s="79"/>
      <c r="DT206" s="99">
        <f t="shared" si="3"/>
        <v>0</v>
      </c>
    </row>
    <row r="207" spans="1:124" ht="56.25" hidden="1" x14ac:dyDescent="0.3">
      <c r="A207" s="143" t="s">
        <v>253</v>
      </c>
      <c r="B207" s="13">
        <v>905</v>
      </c>
      <c r="C207" s="14" t="s">
        <v>123</v>
      </c>
      <c r="D207" s="14" t="s">
        <v>117</v>
      </c>
      <c r="E207" s="14" t="s">
        <v>255</v>
      </c>
      <c r="F207" s="14" t="s">
        <v>50</v>
      </c>
      <c r="G207" s="57">
        <f>G208</f>
        <v>0</v>
      </c>
      <c r="H207" s="116"/>
      <c r="I207" s="117"/>
      <c r="J207" s="116"/>
      <c r="K207" s="80"/>
      <c r="L207" s="79"/>
      <c r="M207" s="79"/>
      <c r="AG207" s="79"/>
      <c r="AH207" s="79"/>
      <c r="DT207" s="99">
        <f t="shared" si="3"/>
        <v>0</v>
      </c>
    </row>
    <row r="208" spans="1:124" ht="37.5" hidden="1" x14ac:dyDescent="0.3">
      <c r="A208" s="143" t="s">
        <v>425</v>
      </c>
      <c r="B208" s="13">
        <v>905</v>
      </c>
      <c r="C208" s="14" t="s">
        <v>123</v>
      </c>
      <c r="D208" s="14" t="s">
        <v>117</v>
      </c>
      <c r="E208" s="14" t="s">
        <v>255</v>
      </c>
      <c r="F208" s="14" t="s">
        <v>59</v>
      </c>
      <c r="G208" s="57">
        <v>0</v>
      </c>
      <c r="H208" s="116"/>
      <c r="I208" s="117"/>
      <c r="J208" s="116"/>
      <c r="K208" s="80"/>
      <c r="L208" s="79"/>
      <c r="M208" s="79"/>
      <c r="AG208" s="79"/>
      <c r="AH208" s="79"/>
      <c r="DT208" s="99">
        <f t="shared" si="3"/>
        <v>0</v>
      </c>
    </row>
    <row r="209" spans="1:124" ht="48.75" hidden="1" customHeight="1" x14ac:dyDescent="0.3">
      <c r="A209" s="156" t="s">
        <v>161</v>
      </c>
      <c r="B209" s="13">
        <v>905</v>
      </c>
      <c r="C209" s="14" t="s">
        <v>123</v>
      </c>
      <c r="D209" s="6" t="s">
        <v>117</v>
      </c>
      <c r="E209" s="14" t="s">
        <v>99</v>
      </c>
      <c r="F209" s="14" t="s">
        <v>50</v>
      </c>
      <c r="G209" s="57">
        <f>G210</f>
        <v>0</v>
      </c>
      <c r="H209" s="116"/>
      <c r="I209" s="117"/>
      <c r="J209" s="116"/>
      <c r="K209" s="80"/>
      <c r="L209" s="79"/>
      <c r="M209" s="79"/>
      <c r="AG209" s="79"/>
      <c r="AH209" s="79"/>
      <c r="DT209" s="99">
        <f t="shared" si="3"/>
        <v>0</v>
      </c>
    </row>
    <row r="210" spans="1:124" ht="56.25" hidden="1" x14ac:dyDescent="0.3">
      <c r="A210" s="143" t="s">
        <v>458</v>
      </c>
      <c r="B210" s="13">
        <v>905</v>
      </c>
      <c r="C210" s="14" t="s">
        <v>123</v>
      </c>
      <c r="D210" s="6" t="s">
        <v>117</v>
      </c>
      <c r="E210" s="14" t="s">
        <v>29</v>
      </c>
      <c r="F210" s="14" t="s">
        <v>50</v>
      </c>
      <c r="G210" s="57">
        <f>G212+G218+G223</f>
        <v>0</v>
      </c>
      <c r="H210" s="116"/>
      <c r="I210" s="117"/>
      <c r="J210" s="116"/>
      <c r="K210" s="80"/>
      <c r="L210" s="79"/>
      <c r="M210" s="79"/>
      <c r="AG210" s="79"/>
      <c r="AH210" s="79"/>
      <c r="DT210" s="99">
        <f t="shared" si="3"/>
        <v>0</v>
      </c>
    </row>
    <row r="211" spans="1:124" ht="75" hidden="1" x14ac:dyDescent="0.3">
      <c r="A211" s="143" t="s">
        <v>249</v>
      </c>
      <c r="B211" s="13">
        <v>905</v>
      </c>
      <c r="C211" s="14" t="s">
        <v>123</v>
      </c>
      <c r="D211" s="6" t="s">
        <v>117</v>
      </c>
      <c r="E211" s="14" t="s">
        <v>823</v>
      </c>
      <c r="F211" s="14" t="s">
        <v>50</v>
      </c>
      <c r="G211" s="57">
        <f>G212</f>
        <v>0</v>
      </c>
      <c r="H211" s="116"/>
      <c r="I211" s="117"/>
      <c r="J211" s="116"/>
      <c r="K211" s="80"/>
      <c r="L211" s="79"/>
      <c r="M211" s="79"/>
      <c r="AG211" s="79"/>
      <c r="AH211" s="79"/>
      <c r="DT211" s="99">
        <f t="shared" si="3"/>
        <v>0</v>
      </c>
    </row>
    <row r="212" spans="1:124" ht="56.25" hidden="1" x14ac:dyDescent="0.3">
      <c r="A212" s="143" t="s">
        <v>253</v>
      </c>
      <c r="B212" s="13">
        <v>905</v>
      </c>
      <c r="C212" s="14" t="s">
        <v>123</v>
      </c>
      <c r="D212" s="6" t="s">
        <v>117</v>
      </c>
      <c r="E212" s="14" t="s">
        <v>255</v>
      </c>
      <c r="F212" s="14" t="s">
        <v>50</v>
      </c>
      <c r="G212" s="57">
        <f>G214+G216</f>
        <v>0</v>
      </c>
      <c r="H212" s="116"/>
      <c r="I212" s="117"/>
      <c r="J212" s="116"/>
      <c r="K212" s="80"/>
      <c r="L212" s="79"/>
      <c r="M212" s="79"/>
      <c r="AG212" s="79"/>
      <c r="AH212" s="79"/>
      <c r="DT212" s="99">
        <f t="shared" si="3"/>
        <v>0</v>
      </c>
    </row>
    <row r="213" spans="1:124" ht="131.25" hidden="1" x14ac:dyDescent="0.3">
      <c r="A213" s="143" t="s">
        <v>822</v>
      </c>
      <c r="B213" s="13">
        <v>905</v>
      </c>
      <c r="C213" s="14" t="s">
        <v>123</v>
      </c>
      <c r="D213" s="6" t="s">
        <v>117</v>
      </c>
      <c r="E213" s="14" t="s">
        <v>824</v>
      </c>
      <c r="F213" s="14" t="s">
        <v>50</v>
      </c>
      <c r="G213" s="57">
        <f>G214</f>
        <v>0</v>
      </c>
      <c r="H213" s="116"/>
      <c r="I213" s="117"/>
      <c r="J213" s="116"/>
      <c r="K213" s="80"/>
      <c r="L213" s="79"/>
      <c r="M213" s="79"/>
      <c r="AG213" s="79"/>
      <c r="AH213" s="79"/>
      <c r="DT213" s="99">
        <f t="shared" si="3"/>
        <v>0</v>
      </c>
    </row>
    <row r="214" spans="1:124" ht="45" hidden="1" customHeight="1" x14ac:dyDescent="0.3">
      <c r="A214" s="143" t="s">
        <v>425</v>
      </c>
      <c r="B214" s="13">
        <v>905</v>
      </c>
      <c r="C214" s="14" t="s">
        <v>123</v>
      </c>
      <c r="D214" s="6" t="s">
        <v>117</v>
      </c>
      <c r="E214" s="14" t="s">
        <v>824</v>
      </c>
      <c r="F214" s="14" t="s">
        <v>59</v>
      </c>
      <c r="G214" s="57">
        <v>0</v>
      </c>
      <c r="H214" s="116"/>
      <c r="I214" s="117"/>
      <c r="J214" s="116"/>
      <c r="K214" s="80">
        <v>580</v>
      </c>
      <c r="L214" s="79"/>
      <c r="M214" s="79"/>
      <c r="AG214" s="79"/>
      <c r="AH214" s="79"/>
      <c r="AK214" s="79">
        <v>0</v>
      </c>
      <c r="AP214" s="151">
        <v>1296.808</v>
      </c>
      <c r="DT214" s="99">
        <f t="shared" si="3"/>
        <v>0</v>
      </c>
    </row>
    <row r="215" spans="1:124" ht="90" hidden="1" customHeight="1" x14ac:dyDescent="0.3">
      <c r="A215" s="143" t="s">
        <v>546</v>
      </c>
      <c r="B215" s="13">
        <v>905</v>
      </c>
      <c r="C215" s="14" t="s">
        <v>123</v>
      </c>
      <c r="D215" s="6" t="s">
        <v>117</v>
      </c>
      <c r="E215" s="14" t="s">
        <v>600</v>
      </c>
      <c r="F215" s="14" t="s">
        <v>50</v>
      </c>
      <c r="G215" s="57">
        <f>G216</f>
        <v>0</v>
      </c>
      <c r="H215" s="116"/>
      <c r="I215" s="117"/>
      <c r="J215" s="116"/>
      <c r="K215" s="80"/>
      <c r="L215" s="79"/>
      <c r="M215" s="79"/>
      <c r="AG215" s="79"/>
      <c r="AH215" s="79"/>
      <c r="DT215" s="99">
        <f t="shared" si="3"/>
        <v>0</v>
      </c>
    </row>
    <row r="216" spans="1:124" ht="37.5" hidden="1" x14ac:dyDescent="0.3">
      <c r="A216" s="143" t="s">
        <v>425</v>
      </c>
      <c r="B216" s="13">
        <v>905</v>
      </c>
      <c r="C216" s="14" t="s">
        <v>123</v>
      </c>
      <c r="D216" s="6" t="s">
        <v>117</v>
      </c>
      <c r="E216" s="14" t="s">
        <v>600</v>
      </c>
      <c r="F216" s="14" t="s">
        <v>59</v>
      </c>
      <c r="G216" s="57">
        <v>0</v>
      </c>
      <c r="H216" s="116"/>
      <c r="I216" s="117"/>
      <c r="J216" s="116"/>
      <c r="K216" s="80">
        <v>630</v>
      </c>
      <c r="L216" s="79"/>
      <c r="M216" s="79"/>
      <c r="AG216" s="79"/>
      <c r="AH216" s="79"/>
      <c r="AK216" s="79">
        <v>0</v>
      </c>
      <c r="DT216" s="99">
        <f t="shared" si="3"/>
        <v>0</v>
      </c>
    </row>
    <row r="217" spans="1:124" hidden="1" x14ac:dyDescent="0.3">
      <c r="A217" s="143" t="s">
        <v>62</v>
      </c>
      <c r="B217" s="13">
        <v>905</v>
      </c>
      <c r="C217" s="14" t="s">
        <v>123</v>
      </c>
      <c r="D217" s="6" t="s">
        <v>117</v>
      </c>
      <c r="E217" s="14" t="s">
        <v>251</v>
      </c>
      <c r="F217" s="14" t="s">
        <v>50</v>
      </c>
      <c r="G217" s="57">
        <f>G218</f>
        <v>0</v>
      </c>
      <c r="H217" s="116"/>
      <c r="I217" s="117"/>
      <c r="J217" s="116"/>
      <c r="K217" s="80"/>
      <c r="L217" s="79"/>
      <c r="M217" s="79"/>
      <c r="AG217" s="79"/>
      <c r="AH217" s="79"/>
      <c r="DT217" s="99">
        <f t="shared" si="3"/>
        <v>0</v>
      </c>
    </row>
    <row r="218" spans="1:124" ht="27.75" hidden="1" customHeight="1" x14ac:dyDescent="0.3">
      <c r="A218" s="163" t="s">
        <v>64</v>
      </c>
      <c r="B218" s="13">
        <v>905</v>
      </c>
      <c r="C218" s="14" t="s">
        <v>123</v>
      </c>
      <c r="D218" s="6" t="s">
        <v>117</v>
      </c>
      <c r="E218" s="14" t="s">
        <v>825</v>
      </c>
      <c r="F218" s="14" t="s">
        <v>50</v>
      </c>
      <c r="G218" s="57">
        <f>G220+G221</f>
        <v>0</v>
      </c>
      <c r="H218" s="116"/>
      <c r="I218" s="117"/>
      <c r="J218" s="116"/>
      <c r="K218" s="80"/>
      <c r="L218" s="79"/>
      <c r="M218" s="79"/>
      <c r="AG218" s="79"/>
      <c r="AH218" s="79"/>
      <c r="DT218" s="99">
        <f t="shared" si="3"/>
        <v>0</v>
      </c>
    </row>
    <row r="219" spans="1:124" ht="111.75" hidden="1" customHeight="1" x14ac:dyDescent="0.3">
      <c r="A219" s="143" t="s">
        <v>821</v>
      </c>
      <c r="B219" s="13">
        <v>905</v>
      </c>
      <c r="C219" s="14" t="s">
        <v>123</v>
      </c>
      <c r="D219" s="6" t="s">
        <v>117</v>
      </c>
      <c r="E219" s="14" t="s">
        <v>826</v>
      </c>
      <c r="F219" s="14" t="s">
        <v>50</v>
      </c>
      <c r="G219" s="57">
        <f>G220</f>
        <v>0</v>
      </c>
      <c r="H219" s="116"/>
      <c r="I219" s="117"/>
      <c r="J219" s="116"/>
      <c r="K219" s="80"/>
      <c r="L219" s="79"/>
      <c r="M219" s="79"/>
      <c r="AG219" s="79"/>
      <c r="AH219" s="79"/>
      <c r="DT219" s="99">
        <f t="shared" si="3"/>
        <v>0</v>
      </c>
    </row>
    <row r="220" spans="1:124" ht="37.5" hidden="1" x14ac:dyDescent="0.3">
      <c r="A220" s="143" t="s">
        <v>425</v>
      </c>
      <c r="B220" s="13">
        <v>905</v>
      </c>
      <c r="C220" s="14" t="s">
        <v>123</v>
      </c>
      <c r="D220" s="6" t="s">
        <v>117</v>
      </c>
      <c r="E220" s="14" t="s">
        <v>826</v>
      </c>
      <c r="F220" s="14" t="s">
        <v>59</v>
      </c>
      <c r="G220" s="57">
        <v>0</v>
      </c>
      <c r="H220" s="116"/>
      <c r="I220" s="117"/>
      <c r="J220" s="116"/>
      <c r="K220" s="80"/>
      <c r="L220" s="79"/>
      <c r="M220" s="79">
        <v>103.5</v>
      </c>
      <c r="AG220" s="79"/>
      <c r="AH220" s="79"/>
      <c r="AK220" s="79">
        <v>0</v>
      </c>
      <c r="AQ220" s="151">
        <v>186</v>
      </c>
      <c r="DT220" s="99">
        <f t="shared" si="3"/>
        <v>0</v>
      </c>
    </row>
    <row r="221" spans="1:124" ht="102.75" hidden="1" customHeight="1" x14ac:dyDescent="0.3">
      <c r="A221" s="143" t="s">
        <v>548</v>
      </c>
      <c r="B221" s="13">
        <v>905</v>
      </c>
      <c r="C221" s="14" t="s">
        <v>123</v>
      </c>
      <c r="D221" s="6" t="s">
        <v>117</v>
      </c>
      <c r="E221" s="14" t="s">
        <v>603</v>
      </c>
      <c r="F221" s="14" t="s">
        <v>50</v>
      </c>
      <c r="G221" s="57">
        <f>G222</f>
        <v>0</v>
      </c>
      <c r="H221" s="116"/>
      <c r="I221" s="117"/>
      <c r="J221" s="116"/>
      <c r="K221" s="80"/>
      <c r="L221" s="79"/>
      <c r="M221" s="79">
        <v>85</v>
      </c>
      <c r="AG221" s="79"/>
      <c r="AH221" s="79"/>
      <c r="DT221" s="99">
        <f t="shared" si="3"/>
        <v>0</v>
      </c>
    </row>
    <row r="222" spans="1:124" ht="60.75" hidden="1" customHeight="1" x14ac:dyDescent="0.3">
      <c r="A222" s="143" t="s">
        <v>425</v>
      </c>
      <c r="B222" s="13">
        <v>905</v>
      </c>
      <c r="C222" s="14" t="s">
        <v>123</v>
      </c>
      <c r="D222" s="6" t="s">
        <v>117</v>
      </c>
      <c r="E222" s="14" t="s">
        <v>603</v>
      </c>
      <c r="F222" s="14" t="s">
        <v>59</v>
      </c>
      <c r="G222" s="57">
        <v>0</v>
      </c>
      <c r="H222" s="116"/>
      <c r="I222" s="117"/>
      <c r="J222" s="116"/>
      <c r="K222" s="80"/>
      <c r="L222" s="79"/>
      <c r="M222" s="79"/>
      <c r="AG222" s="79"/>
      <c r="AH222" s="79"/>
      <c r="AK222" s="79">
        <v>0</v>
      </c>
      <c r="DT222" s="99">
        <f t="shared" si="3"/>
        <v>0</v>
      </c>
    </row>
    <row r="223" spans="1:124" ht="56.25" hidden="1" x14ac:dyDescent="0.3">
      <c r="A223" s="143" t="s">
        <v>253</v>
      </c>
      <c r="B223" s="13">
        <v>905</v>
      </c>
      <c r="C223" s="14" t="s">
        <v>123</v>
      </c>
      <c r="D223" s="6" t="s">
        <v>117</v>
      </c>
      <c r="E223" s="14" t="s">
        <v>827</v>
      </c>
      <c r="F223" s="14" t="s">
        <v>50</v>
      </c>
      <c r="G223" s="57">
        <f>G224</f>
        <v>0</v>
      </c>
      <c r="H223" s="116"/>
      <c r="I223" s="117"/>
      <c r="J223" s="116"/>
      <c r="K223" s="80"/>
      <c r="L223" s="79"/>
      <c r="M223" s="79"/>
      <c r="AG223" s="79"/>
      <c r="AH223" s="79"/>
      <c r="DT223" s="99">
        <f t="shared" si="3"/>
        <v>0</v>
      </c>
    </row>
    <row r="224" spans="1:124" ht="137.25" hidden="1" customHeight="1" x14ac:dyDescent="0.3">
      <c r="A224" s="143" t="s">
        <v>822</v>
      </c>
      <c r="B224" s="13">
        <v>905</v>
      </c>
      <c r="C224" s="14" t="s">
        <v>123</v>
      </c>
      <c r="D224" s="6" t="s">
        <v>117</v>
      </c>
      <c r="E224" s="14" t="s">
        <v>827</v>
      </c>
      <c r="F224" s="14" t="s">
        <v>50</v>
      </c>
      <c r="G224" s="57">
        <f>G225</f>
        <v>0</v>
      </c>
      <c r="H224" s="116"/>
      <c r="I224" s="117"/>
      <c r="J224" s="116"/>
      <c r="K224" s="80"/>
      <c r="L224" s="79"/>
      <c r="M224" s="79">
        <v>77.222999999999999</v>
      </c>
      <c r="AG224" s="79"/>
      <c r="AH224" s="79"/>
      <c r="DT224" s="99">
        <f t="shared" si="3"/>
        <v>0</v>
      </c>
    </row>
    <row r="225" spans="1:124" ht="48" hidden="1" customHeight="1" x14ac:dyDescent="0.3">
      <c r="A225" s="143" t="s">
        <v>425</v>
      </c>
      <c r="B225" s="13">
        <v>905</v>
      </c>
      <c r="C225" s="14" t="s">
        <v>123</v>
      </c>
      <c r="D225" s="6" t="s">
        <v>117</v>
      </c>
      <c r="E225" s="14" t="s">
        <v>827</v>
      </c>
      <c r="F225" s="14" t="s">
        <v>59</v>
      </c>
      <c r="G225" s="57">
        <v>0</v>
      </c>
      <c r="H225" s="116"/>
      <c r="I225" s="117"/>
      <c r="J225" s="116"/>
      <c r="K225" s="80"/>
      <c r="L225" s="79"/>
      <c r="M225" s="79"/>
      <c r="AG225" s="79"/>
      <c r="AH225" s="79"/>
      <c r="AK225" s="79">
        <v>0</v>
      </c>
      <c r="AQ225" s="151">
        <v>90.379000000000005</v>
      </c>
      <c r="CH225" s="258">
        <v>-104.2</v>
      </c>
      <c r="DT225" s="99">
        <f t="shared" si="3"/>
        <v>0</v>
      </c>
    </row>
    <row r="226" spans="1:124" ht="80.25" hidden="1" customHeight="1" x14ac:dyDescent="0.3">
      <c r="A226" s="143" t="s">
        <v>546</v>
      </c>
      <c r="B226" s="13">
        <v>905</v>
      </c>
      <c r="C226" s="14" t="s">
        <v>123</v>
      </c>
      <c r="D226" s="6" t="s">
        <v>117</v>
      </c>
      <c r="E226" s="14" t="s">
        <v>591</v>
      </c>
      <c r="F226" s="14" t="s">
        <v>59</v>
      </c>
      <c r="G226" s="57">
        <f>G227</f>
        <v>0</v>
      </c>
      <c r="H226" s="116"/>
      <c r="I226" s="117"/>
      <c r="J226" s="116"/>
      <c r="K226" s="80"/>
      <c r="L226" s="79"/>
      <c r="M226" s="79">
        <v>80.662000000000006</v>
      </c>
      <c r="AG226" s="79"/>
      <c r="AH226" s="79"/>
      <c r="DT226" s="99">
        <f t="shared" si="3"/>
        <v>0</v>
      </c>
    </row>
    <row r="227" spans="1:124" ht="43.5" hidden="1" customHeight="1" x14ac:dyDescent="0.3">
      <c r="A227" s="143" t="s">
        <v>425</v>
      </c>
      <c r="B227" s="13">
        <v>905</v>
      </c>
      <c r="C227" s="14" t="s">
        <v>123</v>
      </c>
      <c r="D227" s="6" t="s">
        <v>117</v>
      </c>
      <c r="E227" s="14" t="s">
        <v>591</v>
      </c>
      <c r="F227" s="14" t="s">
        <v>59</v>
      </c>
      <c r="G227" s="57">
        <v>0</v>
      </c>
      <c r="H227" s="116"/>
      <c r="I227" s="117"/>
      <c r="J227" s="116"/>
      <c r="K227" s="80"/>
      <c r="L227" s="79"/>
      <c r="M227" s="79"/>
      <c r="AG227" s="79"/>
      <c r="AH227" s="79"/>
      <c r="AK227" s="79">
        <v>0</v>
      </c>
      <c r="DT227" s="99">
        <f t="shared" si="3"/>
        <v>0</v>
      </c>
    </row>
    <row r="228" spans="1:124" x14ac:dyDescent="0.3">
      <c r="A228" s="155" t="s">
        <v>147</v>
      </c>
      <c r="B228" s="12">
        <v>905</v>
      </c>
      <c r="C228" s="9" t="s">
        <v>123</v>
      </c>
      <c r="D228" s="19" t="s">
        <v>123</v>
      </c>
      <c r="E228" s="12" t="s">
        <v>49</v>
      </c>
      <c r="F228" s="9" t="s">
        <v>50</v>
      </c>
      <c r="G228" s="68">
        <f>G229</f>
        <v>6206.7000000000007</v>
      </c>
      <c r="H228" s="116"/>
      <c r="I228" s="117"/>
      <c r="J228" s="116"/>
      <c r="K228" s="80"/>
      <c r="L228" s="79"/>
      <c r="M228" s="79"/>
      <c r="AG228" s="79"/>
      <c r="AH228" s="79"/>
      <c r="DT228" s="99">
        <f t="shared" si="3"/>
        <v>0</v>
      </c>
    </row>
    <row r="229" spans="1:124" ht="45.75" customHeight="1" x14ac:dyDescent="0.3">
      <c r="A229" s="143" t="s">
        <v>38</v>
      </c>
      <c r="B229" s="13">
        <v>905</v>
      </c>
      <c r="C229" s="14" t="s">
        <v>123</v>
      </c>
      <c r="D229" s="14" t="s">
        <v>123</v>
      </c>
      <c r="E229" s="15" t="s">
        <v>25</v>
      </c>
      <c r="F229" s="14" t="s">
        <v>50</v>
      </c>
      <c r="G229" s="57">
        <f>G230+G235+G257+G269</f>
        <v>6206.7000000000007</v>
      </c>
      <c r="H229" s="116"/>
      <c r="I229" s="117"/>
      <c r="J229" s="116"/>
      <c r="K229" s="80"/>
      <c r="L229" s="79"/>
      <c r="M229" s="79"/>
      <c r="AG229" s="79"/>
      <c r="AH229" s="79"/>
      <c r="DT229" s="99">
        <f t="shared" si="3"/>
        <v>0</v>
      </c>
    </row>
    <row r="230" spans="1:124" ht="56.25" hidden="1" x14ac:dyDescent="0.3">
      <c r="A230" s="143" t="s">
        <v>138</v>
      </c>
      <c r="B230" s="13">
        <v>905</v>
      </c>
      <c r="C230" s="14" t="s">
        <v>123</v>
      </c>
      <c r="D230" s="14" t="s">
        <v>123</v>
      </c>
      <c r="E230" s="15" t="s">
        <v>51</v>
      </c>
      <c r="F230" s="14" t="s">
        <v>50</v>
      </c>
      <c r="G230" s="57">
        <f>G231</f>
        <v>0</v>
      </c>
      <c r="H230" s="116"/>
      <c r="I230" s="117"/>
      <c r="J230" s="116"/>
      <c r="K230" s="80"/>
      <c r="L230" s="79"/>
      <c r="M230" s="79"/>
      <c r="AG230" s="79"/>
      <c r="AH230" s="79"/>
      <c r="DT230" s="99">
        <f t="shared" si="3"/>
        <v>0</v>
      </c>
    </row>
    <row r="231" spans="1:124" hidden="1" x14ac:dyDescent="0.3">
      <c r="A231" s="143" t="s">
        <v>62</v>
      </c>
      <c r="B231" s="13">
        <v>905</v>
      </c>
      <c r="C231" s="14" t="s">
        <v>123</v>
      </c>
      <c r="D231" s="14" t="s">
        <v>123</v>
      </c>
      <c r="E231" s="15" t="s">
        <v>63</v>
      </c>
      <c r="F231" s="14" t="s">
        <v>50</v>
      </c>
      <c r="G231" s="57">
        <f>G232</f>
        <v>0</v>
      </c>
      <c r="H231" s="116"/>
      <c r="I231" s="117"/>
      <c r="J231" s="116"/>
      <c r="K231" s="80"/>
      <c r="L231" s="79"/>
      <c r="M231" s="79"/>
      <c r="AG231" s="79"/>
      <c r="AH231" s="79"/>
      <c r="DT231" s="99">
        <f t="shared" si="3"/>
        <v>0</v>
      </c>
    </row>
    <row r="232" spans="1:124" ht="27" hidden="1" customHeight="1" x14ac:dyDescent="0.3">
      <c r="A232" s="143" t="s">
        <v>146</v>
      </c>
      <c r="B232" s="13">
        <v>905</v>
      </c>
      <c r="C232" s="14" t="s">
        <v>123</v>
      </c>
      <c r="D232" s="14" t="s">
        <v>123</v>
      </c>
      <c r="E232" s="15" t="s">
        <v>148</v>
      </c>
      <c r="F232" s="14" t="s">
        <v>50</v>
      </c>
      <c r="G232" s="57">
        <f>G233+G234</f>
        <v>0</v>
      </c>
      <c r="H232" s="116"/>
      <c r="I232" s="117"/>
      <c r="J232" s="116"/>
      <c r="K232" s="80"/>
      <c r="L232" s="79"/>
      <c r="M232" s="79"/>
      <c r="AG232" s="79"/>
      <c r="AH232" s="79"/>
      <c r="DT232" s="99">
        <f t="shared" si="3"/>
        <v>0</v>
      </c>
    </row>
    <row r="233" spans="1:124" ht="37.5" hidden="1" x14ac:dyDescent="0.3">
      <c r="A233" s="143" t="s">
        <v>425</v>
      </c>
      <c r="B233" s="13">
        <v>905</v>
      </c>
      <c r="C233" s="14" t="s">
        <v>123</v>
      </c>
      <c r="D233" s="14" t="s">
        <v>123</v>
      </c>
      <c r="E233" s="15" t="s">
        <v>148</v>
      </c>
      <c r="F233" s="15" t="s">
        <v>59</v>
      </c>
      <c r="G233" s="72">
        <v>0</v>
      </c>
      <c r="H233" s="116"/>
      <c r="I233" s="117"/>
      <c r="J233" s="116"/>
      <c r="K233" s="80"/>
      <c r="L233" s="79"/>
      <c r="M233" s="79"/>
      <c r="T233">
        <v>13.9</v>
      </c>
      <c r="W233">
        <v>-1</v>
      </c>
      <c r="AG233" s="79"/>
      <c r="AH233" s="79"/>
      <c r="AK233" s="79">
        <v>0</v>
      </c>
      <c r="BJ233" s="194">
        <v>-5</v>
      </c>
      <c r="CB233" s="226">
        <v>13.4</v>
      </c>
      <c r="CZ233" s="194">
        <v>33.299999999999997</v>
      </c>
      <c r="DD233" s="194">
        <v>18</v>
      </c>
      <c r="DT233" s="99">
        <f t="shared" si="3"/>
        <v>0</v>
      </c>
    </row>
    <row r="234" spans="1:124" ht="29.25" hidden="1" customHeight="1" x14ac:dyDescent="0.3">
      <c r="A234" s="143" t="s">
        <v>175</v>
      </c>
      <c r="B234" s="13">
        <v>905</v>
      </c>
      <c r="C234" s="14" t="s">
        <v>123</v>
      </c>
      <c r="D234" s="14" t="s">
        <v>123</v>
      </c>
      <c r="E234" s="15" t="s">
        <v>148</v>
      </c>
      <c r="F234" s="15" t="s">
        <v>176</v>
      </c>
      <c r="G234" s="72">
        <v>0</v>
      </c>
      <c r="H234" s="116"/>
      <c r="I234" s="117"/>
      <c r="J234" s="116"/>
      <c r="K234" s="80"/>
      <c r="L234" s="79"/>
      <c r="M234" s="79"/>
      <c r="T234">
        <v>6</v>
      </c>
      <c r="AG234" s="79"/>
      <c r="AH234" s="79"/>
      <c r="AK234" s="79">
        <v>0</v>
      </c>
      <c r="CB234" s="226">
        <v>6</v>
      </c>
      <c r="CG234" s="194">
        <v>3</v>
      </c>
      <c r="CZ234" s="194">
        <v>9</v>
      </c>
      <c r="DT234" s="99">
        <f t="shared" si="3"/>
        <v>0</v>
      </c>
    </row>
    <row r="235" spans="1:124" ht="56.25" x14ac:dyDescent="0.3">
      <c r="A235" s="156" t="s">
        <v>140</v>
      </c>
      <c r="B235" s="13">
        <v>905</v>
      </c>
      <c r="C235" s="14" t="s">
        <v>123</v>
      </c>
      <c r="D235" s="14" t="s">
        <v>123</v>
      </c>
      <c r="E235" s="15" t="s">
        <v>77</v>
      </c>
      <c r="F235" s="15" t="s">
        <v>50</v>
      </c>
      <c r="G235" s="57">
        <f>G236+G250+G254</f>
        <v>2408.9</v>
      </c>
      <c r="H235" s="116"/>
      <c r="I235" s="117"/>
      <c r="J235" s="116"/>
      <c r="K235" s="80"/>
      <c r="L235" s="79"/>
      <c r="M235" s="79"/>
      <c r="AG235" s="79"/>
      <c r="AH235" s="79"/>
      <c r="DT235" s="99">
        <f t="shared" si="3"/>
        <v>0</v>
      </c>
    </row>
    <row r="236" spans="1:124" x14ac:dyDescent="0.3">
      <c r="A236" s="143" t="s">
        <v>62</v>
      </c>
      <c r="B236" s="13">
        <v>905</v>
      </c>
      <c r="C236" s="14" t="s">
        <v>123</v>
      </c>
      <c r="D236" s="6" t="s">
        <v>123</v>
      </c>
      <c r="E236" s="14" t="s">
        <v>152</v>
      </c>
      <c r="F236" s="14" t="s">
        <v>50</v>
      </c>
      <c r="G236" s="57">
        <f>G239+G237+G243+G245+G248+G241</f>
        <v>0</v>
      </c>
      <c r="H236" s="116"/>
      <c r="I236" s="117"/>
      <c r="J236" s="116"/>
      <c r="K236" s="80"/>
      <c r="L236" s="79"/>
      <c r="M236" s="79"/>
      <c r="AG236" s="79"/>
      <c r="AH236" s="79"/>
      <c r="DT236" s="99">
        <f t="shared" si="3"/>
        <v>0</v>
      </c>
    </row>
    <row r="237" spans="1:124" hidden="1" x14ac:dyDescent="0.3">
      <c r="A237" s="143" t="s">
        <v>164</v>
      </c>
      <c r="B237" s="13">
        <v>905</v>
      </c>
      <c r="C237" s="14" t="s">
        <v>123</v>
      </c>
      <c r="D237" s="6" t="s">
        <v>123</v>
      </c>
      <c r="E237" s="14" t="s">
        <v>455</v>
      </c>
      <c r="F237" s="14" t="s">
        <v>50</v>
      </c>
      <c r="G237" s="57">
        <f>G238+G247</f>
        <v>0</v>
      </c>
      <c r="H237" s="116"/>
      <c r="I237" s="117"/>
      <c r="J237" s="116"/>
      <c r="K237" s="80"/>
      <c r="L237" s="79"/>
      <c r="M237" s="79"/>
      <c r="AG237" s="79"/>
      <c r="AH237" s="79"/>
      <c r="DT237" s="99">
        <f t="shared" si="3"/>
        <v>0</v>
      </c>
    </row>
    <row r="238" spans="1:124" ht="37.5" hidden="1" x14ac:dyDescent="0.3">
      <c r="A238" s="143" t="s">
        <v>425</v>
      </c>
      <c r="B238" s="13">
        <v>905</v>
      </c>
      <c r="C238" s="14" t="s">
        <v>123</v>
      </c>
      <c r="D238" s="6" t="s">
        <v>123</v>
      </c>
      <c r="E238" s="14" t="s">
        <v>455</v>
      </c>
      <c r="F238" s="14" t="s">
        <v>59</v>
      </c>
      <c r="G238" s="57">
        <v>0</v>
      </c>
      <c r="H238" s="116"/>
      <c r="I238" s="117"/>
      <c r="J238" s="116"/>
      <c r="K238" s="80"/>
      <c r="L238" s="79"/>
      <c r="M238" s="79"/>
      <c r="U238">
        <v>0.53</v>
      </c>
      <c r="AG238" s="79"/>
      <c r="AH238" s="79"/>
      <c r="AK238" s="79">
        <v>0</v>
      </c>
      <c r="CZ238" s="194">
        <v>63</v>
      </c>
      <c r="DT238" s="99">
        <f t="shared" si="3"/>
        <v>0</v>
      </c>
    </row>
    <row r="239" spans="1:124" ht="24.75" hidden="1" customHeight="1" outlineLevel="1" x14ac:dyDescent="0.3">
      <c r="A239" s="143" t="s">
        <v>156</v>
      </c>
      <c r="B239" s="13">
        <v>905</v>
      </c>
      <c r="C239" s="14" t="s">
        <v>123</v>
      </c>
      <c r="D239" s="6" t="s">
        <v>123</v>
      </c>
      <c r="E239" s="14" t="s">
        <v>157</v>
      </c>
      <c r="F239" s="14" t="s">
        <v>50</v>
      </c>
      <c r="G239" s="57">
        <f>G240</f>
        <v>0</v>
      </c>
      <c r="H239" s="116"/>
      <c r="I239" s="117"/>
      <c r="J239" s="116"/>
      <c r="K239" s="80"/>
      <c r="L239" s="79"/>
      <c r="M239" s="79"/>
      <c r="AG239" s="79"/>
      <c r="AH239" s="79"/>
      <c r="DT239" s="99">
        <f t="shared" si="3"/>
        <v>0</v>
      </c>
    </row>
    <row r="240" spans="1:124" ht="37.5" hidden="1" outlineLevel="1" x14ac:dyDescent="0.3">
      <c r="A240" s="143" t="s">
        <v>425</v>
      </c>
      <c r="B240" s="13">
        <v>905</v>
      </c>
      <c r="C240" s="14" t="s">
        <v>123</v>
      </c>
      <c r="D240" s="6" t="s">
        <v>123</v>
      </c>
      <c r="E240" s="14" t="s">
        <v>157</v>
      </c>
      <c r="F240" s="14" t="s">
        <v>59</v>
      </c>
      <c r="G240" s="57">
        <f>7.5-7.5</f>
        <v>0</v>
      </c>
      <c r="H240" s="116"/>
      <c r="I240" s="117"/>
      <c r="J240" s="116"/>
      <c r="K240" s="80"/>
      <c r="L240" s="79"/>
      <c r="M240" s="79"/>
      <c r="AG240" s="79"/>
      <c r="AH240" s="79"/>
      <c r="DT240" s="99">
        <f t="shared" si="3"/>
        <v>0</v>
      </c>
    </row>
    <row r="241" spans="1:124" hidden="1" outlineLevel="1" x14ac:dyDescent="0.3">
      <c r="A241" s="143" t="s">
        <v>311</v>
      </c>
      <c r="B241" s="13">
        <v>905</v>
      </c>
      <c r="C241" s="14" t="s">
        <v>123</v>
      </c>
      <c r="D241" s="6" t="s">
        <v>123</v>
      </c>
      <c r="E241" s="14" t="s">
        <v>758</v>
      </c>
      <c r="F241" s="14" t="s">
        <v>50</v>
      </c>
      <c r="G241" s="57">
        <f>G242</f>
        <v>0</v>
      </c>
      <c r="H241" s="116"/>
      <c r="I241" s="117"/>
      <c r="J241" s="116"/>
      <c r="K241" s="80"/>
      <c r="L241" s="79"/>
      <c r="M241" s="79"/>
      <c r="AG241" s="79"/>
      <c r="AH241" s="79"/>
      <c r="DT241" s="99">
        <f t="shared" si="3"/>
        <v>0</v>
      </c>
    </row>
    <row r="242" spans="1:124" ht="37.5" hidden="1" outlineLevel="1" x14ac:dyDescent="0.3">
      <c r="A242" s="143" t="s">
        <v>425</v>
      </c>
      <c r="B242" s="13">
        <v>905</v>
      </c>
      <c r="C242" s="14" t="s">
        <v>123</v>
      </c>
      <c r="D242" s="6" t="s">
        <v>123</v>
      </c>
      <c r="E242" s="14" t="s">
        <v>758</v>
      </c>
      <c r="F242" s="14" t="s">
        <v>59</v>
      </c>
      <c r="G242" s="57">
        <v>0</v>
      </c>
      <c r="H242" s="116"/>
      <c r="I242" s="117"/>
      <c r="J242" s="116"/>
      <c r="K242" s="80"/>
      <c r="L242" s="79"/>
      <c r="M242" s="79"/>
      <c r="AG242" s="79"/>
      <c r="AH242" s="79"/>
      <c r="AX242" s="101">
        <v>25.034089999999999</v>
      </c>
      <c r="CF242" s="194">
        <v>65.018000000000001</v>
      </c>
      <c r="DA242" s="270">
        <v>81.5</v>
      </c>
      <c r="DD242" s="194">
        <v>3.25</v>
      </c>
      <c r="DT242" s="99">
        <f t="shared" si="3"/>
        <v>0</v>
      </c>
    </row>
    <row r="243" spans="1:124" hidden="1" x14ac:dyDescent="0.3">
      <c r="A243" s="143" t="s">
        <v>66</v>
      </c>
      <c r="B243" s="13">
        <v>905</v>
      </c>
      <c r="C243" s="14" t="s">
        <v>123</v>
      </c>
      <c r="D243" s="6" t="s">
        <v>123</v>
      </c>
      <c r="E243" s="14" t="s">
        <v>456</v>
      </c>
      <c r="F243" s="14" t="s">
        <v>50</v>
      </c>
      <c r="G243" s="57">
        <f>G244</f>
        <v>0</v>
      </c>
      <c r="H243" s="116"/>
      <c r="I243" s="117"/>
      <c r="J243" s="116"/>
      <c r="K243" s="80"/>
      <c r="L243" s="79"/>
      <c r="M243" s="79"/>
      <c r="AG243" s="79"/>
      <c r="AH243" s="79"/>
      <c r="DT243" s="99">
        <f t="shared" si="3"/>
        <v>0</v>
      </c>
    </row>
    <row r="244" spans="1:124" ht="37.5" hidden="1" x14ac:dyDescent="0.3">
      <c r="A244" s="143" t="s">
        <v>425</v>
      </c>
      <c r="B244" s="13">
        <v>905</v>
      </c>
      <c r="C244" s="14" t="s">
        <v>123</v>
      </c>
      <c r="D244" s="6" t="s">
        <v>123</v>
      </c>
      <c r="E244" s="14" t="s">
        <v>456</v>
      </c>
      <c r="F244" s="14" t="s">
        <v>59</v>
      </c>
      <c r="G244" s="57">
        <v>0</v>
      </c>
      <c r="H244" s="116"/>
      <c r="I244" s="117"/>
      <c r="J244" s="116"/>
      <c r="K244" s="80"/>
      <c r="L244" s="79"/>
      <c r="M244" s="79"/>
      <c r="AG244" s="79"/>
      <c r="AH244" s="79"/>
      <c r="AX244" s="101">
        <v>1034.3476000000001</v>
      </c>
      <c r="BL244" s="194">
        <f>-18.4-17-14.3</f>
        <v>-49.7</v>
      </c>
      <c r="CZ244" s="194">
        <v>1100.0999999999999</v>
      </c>
      <c r="DT244" s="99">
        <f t="shared" si="3"/>
        <v>0</v>
      </c>
    </row>
    <row r="245" spans="1:124" ht="40.5" hidden="1" customHeight="1" x14ac:dyDescent="0.3">
      <c r="A245" s="143" t="s">
        <v>500</v>
      </c>
      <c r="B245" s="13">
        <v>905</v>
      </c>
      <c r="C245" s="14" t="s">
        <v>123</v>
      </c>
      <c r="D245" s="6" t="s">
        <v>123</v>
      </c>
      <c r="E245" s="14" t="s">
        <v>499</v>
      </c>
      <c r="F245" s="14" t="s">
        <v>50</v>
      </c>
      <c r="G245" s="57">
        <f>G246</f>
        <v>0</v>
      </c>
      <c r="H245" s="116"/>
      <c r="I245" s="117"/>
      <c r="J245" s="116"/>
      <c r="K245" s="80"/>
      <c r="L245" s="79"/>
      <c r="M245" s="79"/>
      <c r="AG245" s="79"/>
      <c r="AH245" s="79"/>
      <c r="DT245" s="99">
        <f t="shared" si="3"/>
        <v>0</v>
      </c>
    </row>
    <row r="246" spans="1:124" ht="37.5" hidden="1" x14ac:dyDescent="0.3">
      <c r="A246" s="143" t="s">
        <v>425</v>
      </c>
      <c r="B246" s="13">
        <v>905</v>
      </c>
      <c r="C246" s="14" t="s">
        <v>123</v>
      </c>
      <c r="D246" s="6" t="s">
        <v>123</v>
      </c>
      <c r="E246" s="14" t="s">
        <v>499</v>
      </c>
      <c r="F246" s="14" t="s">
        <v>59</v>
      </c>
      <c r="G246" s="57">
        <v>0</v>
      </c>
      <c r="H246" s="116"/>
      <c r="I246" s="117"/>
      <c r="J246" s="116"/>
      <c r="K246" s="80"/>
      <c r="L246" s="79"/>
      <c r="M246" s="79"/>
      <c r="AG246" s="79"/>
      <c r="AH246" s="79"/>
      <c r="DT246" s="99">
        <f t="shared" si="3"/>
        <v>0</v>
      </c>
    </row>
    <row r="247" spans="1:124" ht="56.25" hidden="1" x14ac:dyDescent="0.3">
      <c r="A247" s="143" t="s">
        <v>264</v>
      </c>
      <c r="B247" s="13">
        <v>905</v>
      </c>
      <c r="C247" s="14" t="s">
        <v>123</v>
      </c>
      <c r="D247" s="6" t="s">
        <v>123</v>
      </c>
      <c r="E247" s="14" t="s">
        <v>455</v>
      </c>
      <c r="F247" s="14" t="s">
        <v>261</v>
      </c>
      <c r="G247" s="57">
        <v>0</v>
      </c>
      <c r="H247" s="116"/>
      <c r="I247" s="117"/>
      <c r="J247" s="116"/>
      <c r="K247" s="80"/>
      <c r="L247" s="79"/>
      <c r="M247" s="79"/>
      <c r="U247">
        <v>0.13</v>
      </c>
      <c r="W247">
        <v>2.2800000000000001E-2</v>
      </c>
      <c r="AG247" s="79"/>
      <c r="AH247" s="79">
        <v>8.8450000000000006</v>
      </c>
      <c r="AK247" s="79">
        <v>0</v>
      </c>
      <c r="DT247" s="99">
        <f t="shared" si="3"/>
        <v>0</v>
      </c>
    </row>
    <row r="248" spans="1:124" ht="37.5" hidden="1" x14ac:dyDescent="0.3">
      <c r="A248" s="143" t="s">
        <v>75</v>
      </c>
      <c r="B248" s="13">
        <v>905</v>
      </c>
      <c r="C248" s="14" t="s">
        <v>123</v>
      </c>
      <c r="D248" s="6" t="s">
        <v>123</v>
      </c>
      <c r="E248" s="14" t="s">
        <v>614</v>
      </c>
      <c r="F248" s="14" t="s">
        <v>50</v>
      </c>
      <c r="G248" s="57">
        <f>G249</f>
        <v>0</v>
      </c>
      <c r="H248" s="116"/>
      <c r="I248" s="117"/>
      <c r="J248" s="116"/>
      <c r="K248" s="80"/>
      <c r="L248" s="79"/>
      <c r="M248" s="79"/>
      <c r="AG248" s="79"/>
      <c r="AH248" s="79"/>
      <c r="DT248" s="99">
        <f t="shared" si="3"/>
        <v>0</v>
      </c>
    </row>
    <row r="249" spans="1:124" ht="37.5" hidden="1" x14ac:dyDescent="0.3">
      <c r="A249" s="143" t="s">
        <v>425</v>
      </c>
      <c r="B249" s="13">
        <v>905</v>
      </c>
      <c r="C249" s="14" t="s">
        <v>123</v>
      </c>
      <c r="D249" s="6" t="s">
        <v>123</v>
      </c>
      <c r="E249" s="14" t="s">
        <v>614</v>
      </c>
      <c r="F249" s="14" t="s">
        <v>59</v>
      </c>
      <c r="G249" s="57">
        <v>0</v>
      </c>
      <c r="H249" s="116"/>
      <c r="I249" s="117"/>
      <c r="J249" s="116"/>
      <c r="K249" s="80"/>
      <c r="L249" s="79"/>
      <c r="M249" s="79"/>
      <c r="W249">
        <v>532.6</v>
      </c>
      <c r="AG249" s="79"/>
      <c r="AH249" s="79"/>
      <c r="AK249" s="79">
        <v>0</v>
      </c>
      <c r="DT249" s="99">
        <f t="shared" si="3"/>
        <v>0</v>
      </c>
    </row>
    <row r="250" spans="1:124" ht="75" hidden="1" x14ac:dyDescent="0.3">
      <c r="A250" s="143" t="s">
        <v>249</v>
      </c>
      <c r="B250" s="13">
        <v>905</v>
      </c>
      <c r="C250" s="14" t="s">
        <v>123</v>
      </c>
      <c r="D250" s="6" t="s">
        <v>123</v>
      </c>
      <c r="E250" s="14" t="s">
        <v>849</v>
      </c>
      <c r="F250" s="14" t="s">
        <v>50</v>
      </c>
      <c r="G250" s="57">
        <f>G251</f>
        <v>2384.8000000000002</v>
      </c>
      <c r="H250" s="116"/>
      <c r="I250" s="117"/>
      <c r="J250" s="116"/>
      <c r="K250" s="80"/>
      <c r="L250" s="79"/>
      <c r="M250" s="79"/>
      <c r="AG250" s="79"/>
      <c r="AH250" s="79"/>
      <c r="DT250" s="99">
        <f t="shared" si="3"/>
        <v>0</v>
      </c>
    </row>
    <row r="251" spans="1:124" ht="44.25" customHeight="1" x14ac:dyDescent="0.3">
      <c r="A251" s="143" t="s">
        <v>301</v>
      </c>
      <c r="B251" s="13">
        <v>905</v>
      </c>
      <c r="C251" s="14" t="s">
        <v>123</v>
      </c>
      <c r="D251" s="6" t="s">
        <v>123</v>
      </c>
      <c r="E251" s="113" t="s">
        <v>1169</v>
      </c>
      <c r="F251" s="14" t="s">
        <v>50</v>
      </c>
      <c r="G251" s="57">
        <f>G252+G253</f>
        <v>2384.8000000000002</v>
      </c>
      <c r="H251" s="116"/>
      <c r="I251" s="117"/>
      <c r="J251" s="116"/>
      <c r="K251" s="80"/>
      <c r="L251" s="79"/>
      <c r="M251" s="79"/>
      <c r="AG251" s="79"/>
      <c r="AH251" s="79"/>
      <c r="BA251" s="194">
        <v>-3.9047999999999998</v>
      </c>
      <c r="DT251" s="99">
        <f t="shared" si="3"/>
        <v>0</v>
      </c>
    </row>
    <row r="252" spans="1:124" ht="37.5" x14ac:dyDescent="0.3">
      <c r="A252" s="143" t="s">
        <v>425</v>
      </c>
      <c r="B252" s="13">
        <v>905</v>
      </c>
      <c r="C252" s="14" t="s">
        <v>123</v>
      </c>
      <c r="D252" s="6" t="s">
        <v>123</v>
      </c>
      <c r="E252" s="113" t="s">
        <v>1169</v>
      </c>
      <c r="F252" s="14" t="s">
        <v>59</v>
      </c>
      <c r="G252" s="57">
        <f>DT252</f>
        <v>2384.8000000000002</v>
      </c>
      <c r="H252" s="127"/>
      <c r="I252" s="128">
        <v>1342.6</v>
      </c>
      <c r="J252" s="127"/>
      <c r="K252" s="80"/>
      <c r="L252" s="79"/>
      <c r="M252" s="79"/>
      <c r="AG252" s="79"/>
      <c r="AH252" s="79"/>
      <c r="AK252" s="79">
        <v>481.84</v>
      </c>
      <c r="AX252" s="101">
        <f>-1164.51492+192.17739+178.88015+107.38084+28.49418</f>
        <v>-657.58235999999999</v>
      </c>
      <c r="BH252" s="233">
        <v>-1.31918</v>
      </c>
      <c r="BK252" s="226">
        <v>-178.09</v>
      </c>
      <c r="BO252" s="238">
        <v>1353.01</v>
      </c>
      <c r="BY252" s="151">
        <v>576.5</v>
      </c>
      <c r="CD252" s="226">
        <v>-1157.2822900000001</v>
      </c>
      <c r="CQ252" s="99">
        <v>1929.52</v>
      </c>
      <c r="DA252" s="270">
        <v>-1147.8574799999999</v>
      </c>
      <c r="DB252" s="194">
        <v>282.80130000000003</v>
      </c>
      <c r="DM252" s="194">
        <v>-70.557299999999998</v>
      </c>
      <c r="DN252" s="274">
        <v>2384.8000000000002</v>
      </c>
      <c r="DT252" s="99">
        <f t="shared" si="3"/>
        <v>2384.8000000000002</v>
      </c>
    </row>
    <row r="253" spans="1:124" ht="56.25" hidden="1" x14ac:dyDescent="0.3">
      <c r="A253" s="143" t="s">
        <v>264</v>
      </c>
      <c r="B253" s="13">
        <v>905</v>
      </c>
      <c r="C253" s="14" t="s">
        <v>123</v>
      </c>
      <c r="D253" s="6" t="s">
        <v>123</v>
      </c>
      <c r="E253" s="113" t="s">
        <v>1169</v>
      </c>
      <c r="F253" s="14" t="s">
        <v>261</v>
      </c>
      <c r="G253" s="57">
        <v>0</v>
      </c>
      <c r="H253" s="127"/>
      <c r="I253" s="128"/>
      <c r="J253" s="127"/>
      <c r="K253" s="80"/>
      <c r="L253" s="79">
        <v>162</v>
      </c>
      <c r="M253" s="79"/>
      <c r="AG253" s="79"/>
      <c r="AH253" s="79"/>
      <c r="AK253" s="79">
        <v>163.63999999999999</v>
      </c>
      <c r="AX253" s="101">
        <v>102.89565</v>
      </c>
      <c r="BA253" s="194">
        <v>-8.4427199999999996</v>
      </c>
      <c r="BH253" s="233">
        <v>1.31918</v>
      </c>
      <c r="CD253" s="226">
        <v>1157.2822900000001</v>
      </c>
      <c r="DA253" s="270">
        <v>249.78294</v>
      </c>
      <c r="DB253" s="194">
        <v>94.000500000000002</v>
      </c>
      <c r="DT253" s="99">
        <f t="shared" si="3"/>
        <v>0</v>
      </c>
    </row>
    <row r="254" spans="1:124" ht="42" customHeight="1" x14ac:dyDescent="0.3">
      <c r="A254" s="143" t="s">
        <v>301</v>
      </c>
      <c r="B254" s="13">
        <v>905</v>
      </c>
      <c r="C254" s="14" t="s">
        <v>123</v>
      </c>
      <c r="D254" s="6" t="s">
        <v>123</v>
      </c>
      <c r="E254" s="113" t="s">
        <v>1170</v>
      </c>
      <c r="F254" s="14" t="s">
        <v>50</v>
      </c>
      <c r="G254" s="57">
        <f>G255+G256</f>
        <v>24.1</v>
      </c>
      <c r="H254" s="116"/>
      <c r="I254" s="117"/>
      <c r="J254" s="116"/>
      <c r="K254" s="80"/>
      <c r="L254" s="79"/>
      <c r="M254" s="79"/>
      <c r="AG254" s="79"/>
      <c r="AH254" s="79"/>
      <c r="DT254" s="99">
        <f t="shared" si="3"/>
        <v>0</v>
      </c>
    </row>
    <row r="255" spans="1:124" ht="37.5" x14ac:dyDescent="0.3">
      <c r="A255" s="143" t="s">
        <v>425</v>
      </c>
      <c r="B255" s="13">
        <v>905</v>
      </c>
      <c r="C255" s="14" t="s">
        <v>123</v>
      </c>
      <c r="D255" s="6" t="s">
        <v>123</v>
      </c>
      <c r="E255" s="113" t="s">
        <v>1170</v>
      </c>
      <c r="F255" s="14" t="s">
        <v>59</v>
      </c>
      <c r="G255" s="57">
        <f>DT255</f>
        <v>24.1</v>
      </c>
      <c r="H255" s="127"/>
      <c r="I255" s="128"/>
      <c r="J255" s="127">
        <v>13.6</v>
      </c>
      <c r="K255" s="80"/>
      <c r="L255" s="79"/>
      <c r="M255" s="79"/>
      <c r="AG255" s="79"/>
      <c r="AH255" s="79"/>
      <c r="AK255" s="79">
        <v>4.84</v>
      </c>
      <c r="AX255" s="101">
        <f>-11.76208+1.94051+1.80685+1.08466+0.28782</f>
        <v>-6.6422399999999993</v>
      </c>
      <c r="BA255" s="194">
        <v>-3.9449999999999999E-2</v>
      </c>
      <c r="BH255" s="233">
        <v>-1.333E-2</v>
      </c>
      <c r="BP255" s="239">
        <v>13.7</v>
      </c>
      <c r="BX255" s="151">
        <v>5.9</v>
      </c>
      <c r="CD255" s="226">
        <v>-11.69271</v>
      </c>
      <c r="CQ255" s="99">
        <v>20</v>
      </c>
      <c r="DA255" s="270">
        <v>-11.594519999999999</v>
      </c>
      <c r="DB255" s="194">
        <v>2.8782999999999999</v>
      </c>
      <c r="DM255" s="194">
        <v>-0.7127</v>
      </c>
      <c r="DN255" s="274">
        <v>24.1</v>
      </c>
      <c r="DT255" s="99">
        <f t="shared" si="3"/>
        <v>24.1</v>
      </c>
    </row>
    <row r="256" spans="1:124" ht="56.25" hidden="1" x14ac:dyDescent="0.3">
      <c r="A256" s="143" t="s">
        <v>264</v>
      </c>
      <c r="B256" s="13">
        <v>905</v>
      </c>
      <c r="C256" s="14" t="s">
        <v>123</v>
      </c>
      <c r="D256" s="6" t="s">
        <v>123</v>
      </c>
      <c r="E256" s="113" t="s">
        <v>1170</v>
      </c>
      <c r="F256" s="14" t="s">
        <v>261</v>
      </c>
      <c r="G256" s="57">
        <v>0</v>
      </c>
      <c r="H256" s="127"/>
      <c r="I256" s="128"/>
      <c r="J256" s="127"/>
      <c r="K256" s="80"/>
      <c r="L256" s="79">
        <v>1.6364000000000001</v>
      </c>
      <c r="M256" s="79"/>
      <c r="AG256" s="79"/>
      <c r="AH256" s="79"/>
      <c r="AK256" s="79">
        <v>1.64</v>
      </c>
      <c r="AX256" s="101">
        <v>1.03935</v>
      </c>
      <c r="BA256" s="194">
        <v>-8.5279999999999995E-2</v>
      </c>
      <c r="BH256" s="233">
        <v>1.333E-2</v>
      </c>
      <c r="CD256" s="226">
        <v>11.69271</v>
      </c>
      <c r="DA256" s="270">
        <v>2.5230600000000001</v>
      </c>
      <c r="DB256" s="194">
        <v>0.94950000000000001</v>
      </c>
      <c r="DT256" s="99">
        <f t="shared" si="3"/>
        <v>0</v>
      </c>
    </row>
    <row r="257" spans="1:124" ht="37.5" x14ac:dyDescent="0.3">
      <c r="A257" s="156" t="s">
        <v>141</v>
      </c>
      <c r="B257" s="13">
        <v>905</v>
      </c>
      <c r="C257" s="14" t="s">
        <v>123</v>
      </c>
      <c r="D257" s="6" t="s">
        <v>123</v>
      </c>
      <c r="E257" s="15" t="s">
        <v>79</v>
      </c>
      <c r="F257" s="15" t="s">
        <v>50</v>
      </c>
      <c r="G257" s="57">
        <f>G258+G266+G284</f>
        <v>3797.8</v>
      </c>
      <c r="H257" s="116"/>
      <c r="I257" s="117"/>
      <c r="J257" s="116"/>
      <c r="K257" s="80"/>
      <c r="L257" s="79"/>
      <c r="M257" s="79"/>
      <c r="AG257" s="79"/>
      <c r="AH257" s="79"/>
      <c r="DT257" s="99">
        <f t="shared" si="3"/>
        <v>0</v>
      </c>
    </row>
    <row r="258" spans="1:124" ht="37.5" x14ac:dyDescent="0.3">
      <c r="A258" s="143" t="s">
        <v>52</v>
      </c>
      <c r="B258" s="13">
        <v>905</v>
      </c>
      <c r="C258" s="14" t="s">
        <v>123</v>
      </c>
      <c r="D258" s="6" t="s">
        <v>123</v>
      </c>
      <c r="E258" s="14" t="s">
        <v>162</v>
      </c>
      <c r="F258" s="14" t="s">
        <v>50</v>
      </c>
      <c r="G258" s="57">
        <f>G259+G263</f>
        <v>3797.8</v>
      </c>
      <c r="H258" s="116"/>
      <c r="I258" s="117"/>
      <c r="J258" s="116"/>
      <c r="K258" s="80"/>
      <c r="L258" s="79"/>
      <c r="M258" s="79"/>
      <c r="AG258" s="79"/>
      <c r="AH258" s="79"/>
      <c r="DT258" s="99">
        <f t="shared" si="3"/>
        <v>0</v>
      </c>
    </row>
    <row r="259" spans="1:124" x14ac:dyDescent="0.3">
      <c r="A259" s="143" t="s">
        <v>82</v>
      </c>
      <c r="B259" s="13">
        <v>905</v>
      </c>
      <c r="C259" s="14" t="s">
        <v>123</v>
      </c>
      <c r="D259" s="6" t="s">
        <v>123</v>
      </c>
      <c r="E259" s="14" t="s">
        <v>163</v>
      </c>
      <c r="F259" s="14" t="s">
        <v>50</v>
      </c>
      <c r="G259" s="57">
        <f>G260+G261+G283+G262</f>
        <v>3797.8</v>
      </c>
      <c r="H259" s="116"/>
      <c r="I259" s="117"/>
      <c r="J259" s="116"/>
      <c r="K259" s="80"/>
      <c r="L259" s="79"/>
      <c r="M259" s="79"/>
      <c r="AG259" s="79"/>
      <c r="AH259" s="79"/>
      <c r="DT259" s="99">
        <f t="shared" si="3"/>
        <v>0</v>
      </c>
    </row>
    <row r="260" spans="1:124" ht="93.75" x14ac:dyDescent="0.3">
      <c r="A260" s="143" t="s">
        <v>56</v>
      </c>
      <c r="B260" s="13">
        <v>905</v>
      </c>
      <c r="C260" s="14" t="s">
        <v>123</v>
      </c>
      <c r="D260" s="6" t="s">
        <v>123</v>
      </c>
      <c r="E260" s="14" t="s">
        <v>163</v>
      </c>
      <c r="F260" s="14" t="s">
        <v>57</v>
      </c>
      <c r="G260" s="57">
        <f>DT260</f>
        <v>3303.9</v>
      </c>
      <c r="H260" s="125">
        <v>2313.1999999999998</v>
      </c>
      <c r="I260" s="126"/>
      <c r="J260" s="125"/>
      <c r="K260" s="80"/>
      <c r="L260" s="79"/>
      <c r="M260" s="79"/>
      <c r="AG260" s="79"/>
      <c r="AH260" s="79"/>
      <c r="AK260" s="79">
        <v>1815</v>
      </c>
      <c r="BM260" s="100">
        <v>2408.4</v>
      </c>
      <c r="CP260" s="259">
        <v>313.2</v>
      </c>
      <c r="CS260" s="264">
        <v>2808.1</v>
      </c>
      <c r="DO260" s="274">
        <v>3303.9</v>
      </c>
      <c r="DT260" s="99">
        <f t="shared" si="3"/>
        <v>3303.9</v>
      </c>
    </row>
    <row r="261" spans="1:124" ht="37.5" x14ac:dyDescent="0.3">
      <c r="A261" s="143" t="s">
        <v>425</v>
      </c>
      <c r="B261" s="13">
        <v>905</v>
      </c>
      <c r="C261" s="14" t="s">
        <v>123</v>
      </c>
      <c r="D261" s="6" t="s">
        <v>123</v>
      </c>
      <c r="E261" s="14" t="s">
        <v>163</v>
      </c>
      <c r="F261" s="14" t="s">
        <v>59</v>
      </c>
      <c r="G261" s="57">
        <f>DT261-92.1</f>
        <v>401.80000000000007</v>
      </c>
      <c r="H261" s="125">
        <v>332.5</v>
      </c>
      <c r="I261" s="126"/>
      <c r="J261" s="125"/>
      <c r="K261" s="80"/>
      <c r="L261" s="79"/>
      <c r="M261" s="79">
        <v>44.4</v>
      </c>
      <c r="AC261">
        <v>15</v>
      </c>
      <c r="AG261" s="79"/>
      <c r="AH261" s="79"/>
      <c r="AK261" s="79">
        <v>264.5</v>
      </c>
      <c r="BJ261" s="194">
        <v>-41.8</v>
      </c>
      <c r="BL261" s="194">
        <v>-13.4</v>
      </c>
      <c r="BM261" s="100">
        <f>263.5+844.4</f>
        <v>1107.9000000000001</v>
      </c>
      <c r="BQ261">
        <v>844.4</v>
      </c>
      <c r="CB261" s="226">
        <f>55.7-0.13795</f>
        <v>55.562050000000006</v>
      </c>
      <c r="CD261" s="226">
        <v>56.2</v>
      </c>
      <c r="CG261" s="194">
        <v>33.5</v>
      </c>
      <c r="CH261" s="258">
        <v>43.9</v>
      </c>
      <c r="CP261" s="259">
        <f>6.1+10.7</f>
        <v>16.799999999999997</v>
      </c>
      <c r="CS261" s="264">
        <f>239.2+142</f>
        <v>381.2</v>
      </c>
      <c r="CU261" s="258">
        <v>5.0999999999999996</v>
      </c>
      <c r="DD261" s="194">
        <v>11.1</v>
      </c>
      <c r="DF261" s="194">
        <v>13.3</v>
      </c>
      <c r="DP261" s="99">
        <f>219.8+6.9+7.9+96.5</f>
        <v>331.1</v>
      </c>
      <c r="DQ261" s="99">
        <v>6.6</v>
      </c>
      <c r="DR261" s="99">
        <v>156.19999999999999</v>
      </c>
      <c r="DT261" s="99">
        <f t="shared" si="3"/>
        <v>493.90000000000003</v>
      </c>
    </row>
    <row r="262" spans="1:124" x14ac:dyDescent="0.3">
      <c r="A262" s="143" t="s">
        <v>60</v>
      </c>
      <c r="B262" s="13">
        <v>905</v>
      </c>
      <c r="C262" s="14" t="s">
        <v>123</v>
      </c>
      <c r="D262" s="6" t="s">
        <v>123</v>
      </c>
      <c r="E262" s="14" t="s">
        <v>163</v>
      </c>
      <c r="F262" s="14" t="s">
        <v>61</v>
      </c>
      <c r="G262" s="57">
        <v>92.1</v>
      </c>
      <c r="H262" s="125"/>
      <c r="I262" s="126"/>
      <c r="J262" s="125"/>
      <c r="K262" s="80"/>
      <c r="L262" s="79"/>
      <c r="M262" s="79"/>
      <c r="AG262" s="79"/>
      <c r="AH262" s="79"/>
      <c r="DI262" s="270">
        <v>-24.3</v>
      </c>
      <c r="DT262" s="99">
        <f t="shared" si="3"/>
        <v>0</v>
      </c>
    </row>
    <row r="263" spans="1:124" ht="37.5" hidden="1" x14ac:dyDescent="0.3">
      <c r="A263" s="162" t="s">
        <v>374</v>
      </c>
      <c r="B263" s="13">
        <v>905</v>
      </c>
      <c r="C263" s="14" t="s">
        <v>123</v>
      </c>
      <c r="D263" s="6" t="s">
        <v>123</v>
      </c>
      <c r="E263" s="14" t="s">
        <v>507</v>
      </c>
      <c r="F263" s="14" t="s">
        <v>50</v>
      </c>
      <c r="G263" s="57">
        <f>G264+G265</f>
        <v>0</v>
      </c>
      <c r="H263" s="116"/>
      <c r="I263" s="117"/>
      <c r="J263" s="116"/>
      <c r="K263" s="80"/>
      <c r="L263" s="79"/>
      <c r="M263" s="79"/>
      <c r="AG263" s="79"/>
      <c r="AH263" s="79"/>
      <c r="DT263" s="99">
        <f t="shared" si="3"/>
        <v>0</v>
      </c>
    </row>
    <row r="264" spans="1:124" ht="93.75" hidden="1" x14ac:dyDescent="0.3">
      <c r="A264" s="143" t="s">
        <v>56</v>
      </c>
      <c r="B264" s="13">
        <v>905</v>
      </c>
      <c r="C264" s="14" t="s">
        <v>123</v>
      </c>
      <c r="D264" s="6" t="s">
        <v>123</v>
      </c>
      <c r="E264" s="14" t="s">
        <v>507</v>
      </c>
      <c r="F264" s="14" t="s">
        <v>57</v>
      </c>
      <c r="G264" s="57">
        <v>0</v>
      </c>
      <c r="H264" s="116"/>
      <c r="I264" s="117"/>
      <c r="J264" s="116"/>
      <c r="K264" s="80"/>
      <c r="L264" s="79"/>
      <c r="M264" s="79"/>
      <c r="AG264" s="79">
        <v>36.799999999999997</v>
      </c>
      <c r="AH264" s="79"/>
      <c r="AK264" s="79">
        <v>0</v>
      </c>
      <c r="AP264" s="151">
        <v>48.3</v>
      </c>
      <c r="BK264" s="226">
        <v>17.399999999999999</v>
      </c>
      <c r="DI264" s="270">
        <v>141.80000000000001</v>
      </c>
      <c r="DT264" s="99">
        <f t="shared" si="3"/>
        <v>0</v>
      </c>
    </row>
    <row r="265" spans="1:124" hidden="1" x14ac:dyDescent="0.3">
      <c r="A265" s="143" t="s">
        <v>60</v>
      </c>
      <c r="B265" s="13">
        <v>905</v>
      </c>
      <c r="C265" s="14" t="s">
        <v>123</v>
      </c>
      <c r="D265" s="6" t="s">
        <v>123</v>
      </c>
      <c r="E265" s="14" t="s">
        <v>507</v>
      </c>
      <c r="F265" s="14" t="s">
        <v>61</v>
      </c>
      <c r="G265" s="33">
        <v>0</v>
      </c>
      <c r="H265" s="116"/>
      <c r="I265" s="117"/>
      <c r="J265" s="116"/>
      <c r="K265" s="80"/>
      <c r="L265" s="79"/>
      <c r="M265" s="79"/>
      <c r="AG265" s="79"/>
      <c r="AH265" s="79"/>
      <c r="CL265" s="194">
        <f>2.102+3.125+0.557</f>
        <v>5.7840000000000007</v>
      </c>
      <c r="CU265" s="258">
        <v>96.1</v>
      </c>
      <c r="DI265" s="270">
        <v>23.581</v>
      </c>
      <c r="DT265" s="99">
        <f t="shared" si="3"/>
        <v>0</v>
      </c>
    </row>
    <row r="266" spans="1:124" hidden="1" x14ac:dyDescent="0.3">
      <c r="A266" s="143" t="s">
        <v>62</v>
      </c>
      <c r="B266" s="13">
        <v>905</v>
      </c>
      <c r="C266" s="14" t="s">
        <v>123</v>
      </c>
      <c r="D266" s="6" t="s">
        <v>123</v>
      </c>
      <c r="E266" s="14" t="s">
        <v>80</v>
      </c>
      <c r="F266" s="14" t="s">
        <v>50</v>
      </c>
      <c r="G266" s="57">
        <f>G267</f>
        <v>0</v>
      </c>
      <c r="H266" s="116"/>
      <c r="I266" s="117"/>
      <c r="J266" s="116"/>
      <c r="K266" s="80"/>
      <c r="L266" s="79"/>
      <c r="M266" s="79"/>
      <c r="AG266" s="79"/>
      <c r="AH266" s="79"/>
      <c r="DT266" s="99">
        <f t="shared" ref="DT266:DT329" si="4">DN266+DO266+DP266+DQ266+DR266+DS266</f>
        <v>0</v>
      </c>
    </row>
    <row r="267" spans="1:124" hidden="1" x14ac:dyDescent="0.3">
      <c r="A267" s="143" t="s">
        <v>156</v>
      </c>
      <c r="B267" s="13">
        <v>905</v>
      </c>
      <c r="C267" s="14" t="s">
        <v>123</v>
      </c>
      <c r="D267" s="6" t="s">
        <v>123</v>
      </c>
      <c r="E267" s="14" t="s">
        <v>1118</v>
      </c>
      <c r="F267" s="14" t="s">
        <v>50</v>
      </c>
      <c r="G267" s="57">
        <f>G268</f>
        <v>0</v>
      </c>
      <c r="H267" s="116"/>
      <c r="I267" s="117"/>
      <c r="J267" s="116"/>
      <c r="K267" s="80"/>
      <c r="L267" s="79"/>
      <c r="M267" s="79"/>
      <c r="AG267" s="79"/>
      <c r="AH267" s="79"/>
      <c r="DT267" s="99">
        <f t="shared" si="4"/>
        <v>0</v>
      </c>
    </row>
    <row r="268" spans="1:124" ht="37.5" hidden="1" x14ac:dyDescent="0.3">
      <c r="A268" s="143" t="s">
        <v>425</v>
      </c>
      <c r="B268" s="13">
        <v>905</v>
      </c>
      <c r="C268" s="14" t="s">
        <v>123</v>
      </c>
      <c r="D268" s="6" t="s">
        <v>123</v>
      </c>
      <c r="E268" s="14" t="s">
        <v>1118</v>
      </c>
      <c r="F268" s="14" t="s">
        <v>59</v>
      </c>
      <c r="G268" s="72">
        <v>0</v>
      </c>
      <c r="H268" s="116"/>
      <c r="I268" s="117"/>
      <c r="J268" s="116"/>
      <c r="K268" s="80"/>
      <c r="L268" s="79"/>
      <c r="M268" s="79"/>
      <c r="T268">
        <v>24.5</v>
      </c>
      <c r="AG268" s="79"/>
      <c r="AH268" s="79"/>
      <c r="AK268" s="79">
        <v>0</v>
      </c>
      <c r="AV268" s="194">
        <v>33</v>
      </c>
      <c r="CF268" s="194">
        <v>51.7</v>
      </c>
      <c r="CX268" s="270">
        <v>12.9</v>
      </c>
      <c r="DT268" s="99">
        <f t="shared" si="4"/>
        <v>0</v>
      </c>
    </row>
    <row r="269" spans="1:124" hidden="1" outlineLevel="1" x14ac:dyDescent="0.3">
      <c r="A269" s="143" t="s">
        <v>83</v>
      </c>
      <c r="B269" s="13">
        <v>905</v>
      </c>
      <c r="C269" s="14" t="s">
        <v>123</v>
      </c>
      <c r="D269" s="6" t="s">
        <v>123</v>
      </c>
      <c r="E269" s="14" t="s">
        <v>84</v>
      </c>
      <c r="F269" s="14" t="s">
        <v>50</v>
      </c>
      <c r="G269" s="57">
        <f>G270+G273</f>
        <v>0</v>
      </c>
      <c r="H269" s="116"/>
      <c r="I269" s="117"/>
      <c r="J269" s="116"/>
      <c r="K269" s="80"/>
      <c r="L269" s="79"/>
      <c r="M269" s="79"/>
      <c r="AG269" s="79"/>
      <c r="AH269" s="79"/>
      <c r="DT269" s="99">
        <f t="shared" si="4"/>
        <v>0</v>
      </c>
    </row>
    <row r="270" spans="1:124" ht="75" hidden="1" outlineLevel="1" x14ac:dyDescent="0.3">
      <c r="A270" s="143" t="s">
        <v>249</v>
      </c>
      <c r="B270" s="13">
        <v>905</v>
      </c>
      <c r="C270" s="14" t="s">
        <v>123</v>
      </c>
      <c r="D270" s="6" t="s">
        <v>123</v>
      </c>
      <c r="E270" s="14" t="s">
        <v>300</v>
      </c>
      <c r="F270" s="14" t="s">
        <v>50</v>
      </c>
      <c r="G270" s="34">
        <f>G271</f>
        <v>0</v>
      </c>
      <c r="H270" s="129"/>
      <c r="I270" s="130"/>
      <c r="J270" s="129"/>
      <c r="K270" s="80"/>
      <c r="L270" s="79"/>
      <c r="M270" s="79"/>
      <c r="AG270" s="79"/>
      <c r="AH270" s="79"/>
      <c r="DT270" s="99">
        <f t="shared" si="4"/>
        <v>0</v>
      </c>
    </row>
    <row r="271" spans="1:124" ht="38.25" hidden="1" customHeight="1" outlineLevel="1" x14ac:dyDescent="0.3">
      <c r="A271" s="143" t="s">
        <v>301</v>
      </c>
      <c r="B271" s="13">
        <v>905</v>
      </c>
      <c r="C271" s="14" t="s">
        <v>123</v>
      </c>
      <c r="D271" s="6" t="s">
        <v>123</v>
      </c>
      <c r="E271" s="14" t="s">
        <v>302</v>
      </c>
      <c r="F271" s="14" t="s">
        <v>50</v>
      </c>
      <c r="G271" s="34">
        <f>G272</f>
        <v>0</v>
      </c>
      <c r="H271" s="129"/>
      <c r="I271" s="130"/>
      <c r="J271" s="129"/>
      <c r="K271" s="80"/>
      <c r="L271" s="79"/>
      <c r="M271" s="79"/>
      <c r="AG271" s="79"/>
      <c r="AH271" s="79"/>
      <c r="DT271" s="99">
        <f t="shared" si="4"/>
        <v>0</v>
      </c>
    </row>
    <row r="272" spans="1:124" ht="37.5" hidden="1" outlineLevel="1" x14ac:dyDescent="0.3">
      <c r="A272" s="143" t="s">
        <v>58</v>
      </c>
      <c r="B272" s="13">
        <v>905</v>
      </c>
      <c r="C272" s="14" t="s">
        <v>123</v>
      </c>
      <c r="D272" s="6" t="s">
        <v>123</v>
      </c>
      <c r="E272" s="14" t="s">
        <v>302</v>
      </c>
      <c r="F272" s="14" t="s">
        <v>59</v>
      </c>
      <c r="G272" s="35">
        <v>0</v>
      </c>
      <c r="H272" s="131"/>
      <c r="I272" s="132"/>
      <c r="J272" s="131"/>
      <c r="K272" s="80"/>
      <c r="L272" s="79"/>
      <c r="M272" s="79"/>
      <c r="AG272" s="79"/>
      <c r="AH272" s="79"/>
      <c r="DT272" s="99">
        <f t="shared" si="4"/>
        <v>0</v>
      </c>
    </row>
    <row r="273" spans="1:124" ht="36.75" hidden="1" customHeight="1" outlineLevel="1" x14ac:dyDescent="0.3">
      <c r="A273" s="143" t="s">
        <v>301</v>
      </c>
      <c r="B273" s="13">
        <v>905</v>
      </c>
      <c r="C273" s="14" t="s">
        <v>123</v>
      </c>
      <c r="D273" s="6" t="s">
        <v>123</v>
      </c>
      <c r="E273" s="14" t="s">
        <v>303</v>
      </c>
      <c r="F273" s="14" t="s">
        <v>50</v>
      </c>
      <c r="G273" s="33">
        <f>G274</f>
        <v>0</v>
      </c>
      <c r="H273" s="133"/>
      <c r="I273" s="134"/>
      <c r="J273" s="133"/>
      <c r="K273" s="80"/>
      <c r="L273" s="79"/>
      <c r="M273" s="79"/>
      <c r="AG273" s="79"/>
      <c r="AH273" s="79"/>
      <c r="DT273" s="99">
        <f t="shared" si="4"/>
        <v>0</v>
      </c>
    </row>
    <row r="274" spans="1:124" ht="37.5" hidden="1" outlineLevel="1" x14ac:dyDescent="0.3">
      <c r="A274" s="143" t="s">
        <v>58</v>
      </c>
      <c r="B274" s="13">
        <v>905</v>
      </c>
      <c r="C274" s="14" t="s">
        <v>123</v>
      </c>
      <c r="D274" s="6" t="s">
        <v>123</v>
      </c>
      <c r="E274" s="14" t="s">
        <v>303</v>
      </c>
      <c r="F274" s="14" t="s">
        <v>59</v>
      </c>
      <c r="G274" s="33">
        <v>0</v>
      </c>
      <c r="H274" s="133"/>
      <c r="I274" s="134"/>
      <c r="J274" s="133"/>
      <c r="K274" s="80"/>
      <c r="L274" s="79"/>
      <c r="M274" s="79"/>
      <c r="AG274" s="79"/>
      <c r="AH274" s="79"/>
      <c r="DT274" s="99">
        <f t="shared" si="4"/>
        <v>0</v>
      </c>
    </row>
    <row r="275" spans="1:124" hidden="1" outlineLevel="1" x14ac:dyDescent="0.3">
      <c r="A275" s="143" t="s">
        <v>62</v>
      </c>
      <c r="B275" s="13"/>
      <c r="C275" s="14"/>
      <c r="D275" s="6"/>
      <c r="E275" s="14"/>
      <c r="F275" s="14"/>
      <c r="G275" s="33"/>
      <c r="H275" s="133"/>
      <c r="I275" s="134"/>
      <c r="J275" s="133"/>
      <c r="K275" s="80"/>
      <c r="L275" s="79"/>
      <c r="M275" s="79"/>
      <c r="AG275" s="79"/>
      <c r="AH275" s="79"/>
      <c r="DT275" s="99">
        <f t="shared" si="4"/>
        <v>0</v>
      </c>
    </row>
    <row r="276" spans="1:124" hidden="1" outlineLevel="1" x14ac:dyDescent="0.3">
      <c r="A276" s="143"/>
      <c r="B276" s="13"/>
      <c r="C276" s="14"/>
      <c r="D276" s="6"/>
      <c r="E276" s="14"/>
      <c r="F276" s="14"/>
      <c r="G276" s="33"/>
      <c r="H276" s="133"/>
      <c r="I276" s="134"/>
      <c r="J276" s="133"/>
      <c r="K276" s="80"/>
      <c r="L276" s="79"/>
      <c r="M276" s="79"/>
      <c r="AG276" s="79"/>
      <c r="AH276" s="79"/>
      <c r="DT276" s="99">
        <f t="shared" si="4"/>
        <v>0</v>
      </c>
    </row>
    <row r="277" spans="1:124" hidden="1" outlineLevel="1" x14ac:dyDescent="0.3">
      <c r="A277" s="143"/>
      <c r="B277" s="13"/>
      <c r="C277" s="14"/>
      <c r="D277" s="6"/>
      <c r="E277" s="14"/>
      <c r="F277" s="14"/>
      <c r="G277" s="33"/>
      <c r="H277" s="133"/>
      <c r="I277" s="134"/>
      <c r="J277" s="133"/>
      <c r="K277" s="80"/>
      <c r="L277" s="79"/>
      <c r="M277" s="79"/>
      <c r="AG277" s="79"/>
      <c r="AH277" s="79"/>
      <c r="DT277" s="99">
        <f t="shared" si="4"/>
        <v>0</v>
      </c>
    </row>
    <row r="278" spans="1:124" hidden="1" outlineLevel="1" x14ac:dyDescent="0.3">
      <c r="A278" s="143"/>
      <c r="B278" s="13"/>
      <c r="C278" s="14"/>
      <c r="D278" s="6"/>
      <c r="E278" s="14"/>
      <c r="F278" s="14"/>
      <c r="G278" s="33"/>
      <c r="H278" s="133"/>
      <c r="I278" s="134"/>
      <c r="J278" s="133"/>
      <c r="K278" s="80"/>
      <c r="L278" s="79"/>
      <c r="M278" s="79"/>
      <c r="AG278" s="79"/>
      <c r="AH278" s="79"/>
      <c r="DT278" s="99">
        <f t="shared" si="4"/>
        <v>0</v>
      </c>
    </row>
    <row r="279" spans="1:124" hidden="1" outlineLevel="1" x14ac:dyDescent="0.3">
      <c r="A279" s="143" t="s">
        <v>311</v>
      </c>
      <c r="B279" s="13">
        <v>905</v>
      </c>
      <c r="C279" s="14" t="s">
        <v>123</v>
      </c>
      <c r="D279" s="6" t="s">
        <v>123</v>
      </c>
      <c r="E279" s="14" t="s">
        <v>530</v>
      </c>
      <c r="F279" s="14" t="s">
        <v>50</v>
      </c>
      <c r="G279" s="33">
        <f>G280</f>
        <v>0</v>
      </c>
      <c r="H279" s="133"/>
      <c r="I279" s="134"/>
      <c r="J279" s="133"/>
      <c r="K279" s="80"/>
      <c r="L279" s="79"/>
      <c r="M279" s="79"/>
      <c r="AG279" s="79"/>
      <c r="AH279" s="79"/>
      <c r="DT279" s="99">
        <f t="shared" si="4"/>
        <v>0</v>
      </c>
    </row>
    <row r="280" spans="1:124" ht="37.5" hidden="1" outlineLevel="1" x14ac:dyDescent="0.3">
      <c r="A280" s="143" t="s">
        <v>425</v>
      </c>
      <c r="B280" s="13">
        <v>905</v>
      </c>
      <c r="C280" s="14" t="s">
        <v>123</v>
      </c>
      <c r="D280" s="6" t="s">
        <v>123</v>
      </c>
      <c r="E280" s="14" t="s">
        <v>530</v>
      </c>
      <c r="F280" s="14" t="s">
        <v>59</v>
      </c>
      <c r="G280" s="33"/>
      <c r="H280" s="133"/>
      <c r="I280" s="134"/>
      <c r="J280" s="133"/>
      <c r="K280" s="80"/>
      <c r="L280" s="79"/>
      <c r="M280" s="79"/>
      <c r="AG280" s="79"/>
      <c r="AH280" s="79"/>
      <c r="DT280" s="99">
        <f t="shared" si="4"/>
        <v>0</v>
      </c>
    </row>
    <row r="281" spans="1:124" ht="29.25" hidden="1" customHeight="1" outlineLevel="1" x14ac:dyDescent="0.3">
      <c r="A281" s="163" t="s">
        <v>64</v>
      </c>
      <c r="B281" s="13">
        <v>905</v>
      </c>
      <c r="C281" s="14" t="s">
        <v>123</v>
      </c>
      <c r="D281" s="6" t="s">
        <v>123</v>
      </c>
      <c r="E281" s="14" t="s">
        <v>777</v>
      </c>
      <c r="F281" s="14" t="s">
        <v>50</v>
      </c>
      <c r="G281" s="33">
        <f>G282</f>
        <v>0</v>
      </c>
      <c r="H281" s="133"/>
      <c r="I281" s="134"/>
      <c r="J281" s="133"/>
      <c r="K281" s="80"/>
      <c r="L281" s="79"/>
      <c r="M281" s="79"/>
      <c r="AG281" s="79"/>
      <c r="AH281" s="79"/>
      <c r="DT281" s="99">
        <f t="shared" si="4"/>
        <v>0</v>
      </c>
    </row>
    <row r="282" spans="1:124" ht="37.5" hidden="1" outlineLevel="1" x14ac:dyDescent="0.3">
      <c r="A282" s="143" t="s">
        <v>425</v>
      </c>
      <c r="B282" s="13">
        <v>905</v>
      </c>
      <c r="C282" s="14" t="s">
        <v>123</v>
      </c>
      <c r="D282" s="6" t="s">
        <v>123</v>
      </c>
      <c r="E282" s="14" t="s">
        <v>777</v>
      </c>
      <c r="F282" s="14" t="s">
        <v>59</v>
      </c>
      <c r="G282" s="33">
        <v>0</v>
      </c>
      <c r="H282" s="133"/>
      <c r="I282" s="134"/>
      <c r="J282" s="133"/>
      <c r="K282" s="80"/>
      <c r="L282" s="79"/>
      <c r="M282" s="79"/>
      <c r="AG282" s="79"/>
      <c r="AH282" s="79"/>
      <c r="BB282" s="194">
        <v>1100</v>
      </c>
      <c r="DT282" s="99">
        <f t="shared" si="4"/>
        <v>0</v>
      </c>
    </row>
    <row r="283" spans="1:124" hidden="1" outlineLevel="1" x14ac:dyDescent="0.3">
      <c r="A283" s="143" t="s">
        <v>60</v>
      </c>
      <c r="B283" s="13">
        <v>905</v>
      </c>
      <c r="C283" s="14" t="s">
        <v>123</v>
      </c>
      <c r="D283" s="6" t="s">
        <v>123</v>
      </c>
      <c r="E283" s="14" t="s">
        <v>163</v>
      </c>
      <c r="F283" s="14" t="s">
        <v>61</v>
      </c>
      <c r="G283" s="33">
        <v>0</v>
      </c>
      <c r="H283" s="133"/>
      <c r="I283" s="134"/>
      <c r="J283" s="133"/>
      <c r="K283" s="80"/>
      <c r="L283" s="79"/>
      <c r="M283" s="79"/>
      <c r="AG283" s="79"/>
      <c r="AH283" s="79"/>
      <c r="BU283" s="151">
        <v>76.379000000000005</v>
      </c>
      <c r="DT283" s="99">
        <f t="shared" si="4"/>
        <v>0</v>
      </c>
    </row>
    <row r="284" spans="1:124" ht="37.5" hidden="1" outlineLevel="1" x14ac:dyDescent="0.3">
      <c r="A284" s="143" t="s">
        <v>64</v>
      </c>
      <c r="B284" s="13">
        <v>905</v>
      </c>
      <c r="C284" s="14" t="s">
        <v>123</v>
      </c>
      <c r="D284" s="6" t="s">
        <v>123</v>
      </c>
      <c r="E284" s="14" t="s">
        <v>777</v>
      </c>
      <c r="F284" s="14" t="s">
        <v>50</v>
      </c>
      <c r="G284" s="33">
        <f>G285</f>
        <v>0</v>
      </c>
      <c r="H284" s="133"/>
      <c r="I284" s="134"/>
      <c r="J284" s="133"/>
      <c r="K284" s="80"/>
      <c r="L284" s="79"/>
      <c r="M284" s="79"/>
      <c r="AG284" s="79"/>
      <c r="AH284" s="79"/>
      <c r="DT284" s="99">
        <f t="shared" si="4"/>
        <v>0</v>
      </c>
    </row>
    <row r="285" spans="1:124" ht="37.5" hidden="1" outlineLevel="1" x14ac:dyDescent="0.3">
      <c r="A285" s="143" t="s">
        <v>425</v>
      </c>
      <c r="B285" s="13">
        <v>905</v>
      </c>
      <c r="C285" s="14" t="s">
        <v>123</v>
      </c>
      <c r="D285" s="6" t="s">
        <v>123</v>
      </c>
      <c r="E285" s="14" t="s">
        <v>777</v>
      </c>
      <c r="F285" s="14" t="s">
        <v>59</v>
      </c>
      <c r="G285" s="33">
        <v>0</v>
      </c>
      <c r="H285" s="133"/>
      <c r="I285" s="134"/>
      <c r="J285" s="133"/>
      <c r="K285" s="80"/>
      <c r="L285" s="79"/>
      <c r="M285" s="79"/>
      <c r="AG285" s="79"/>
      <c r="AH285" s="79"/>
      <c r="CB285" s="226">
        <v>0.13794999999999999</v>
      </c>
      <c r="DT285" s="99">
        <f t="shared" si="4"/>
        <v>0</v>
      </c>
    </row>
    <row r="286" spans="1:124" collapsed="1" x14ac:dyDescent="0.3">
      <c r="A286" s="155" t="s">
        <v>127</v>
      </c>
      <c r="B286" s="12">
        <v>905</v>
      </c>
      <c r="C286" s="9" t="s">
        <v>123</v>
      </c>
      <c r="D286" s="19" t="s">
        <v>128</v>
      </c>
      <c r="E286" s="12" t="s">
        <v>49</v>
      </c>
      <c r="F286" s="9" t="s">
        <v>50</v>
      </c>
      <c r="G286" s="68">
        <f>G287+G308</f>
        <v>19903.599999999999</v>
      </c>
      <c r="H286" s="116"/>
      <c r="I286" s="117"/>
      <c r="J286" s="116"/>
      <c r="K286" s="80"/>
      <c r="L286" s="79"/>
      <c r="M286" s="79"/>
      <c r="AG286" s="79"/>
      <c r="AH286" s="79"/>
      <c r="DT286" s="99">
        <f t="shared" si="4"/>
        <v>0</v>
      </c>
    </row>
    <row r="287" spans="1:124" ht="45" customHeight="1" x14ac:dyDescent="0.3">
      <c r="A287" s="143" t="s">
        <v>38</v>
      </c>
      <c r="B287" s="13">
        <v>905</v>
      </c>
      <c r="C287" s="14" t="s">
        <v>123</v>
      </c>
      <c r="D287" s="6" t="s">
        <v>128</v>
      </c>
      <c r="E287" s="15" t="s">
        <v>400</v>
      </c>
      <c r="F287" s="14" t="s">
        <v>50</v>
      </c>
      <c r="G287" s="57">
        <f>G288+G298</f>
        <v>19854.599999999999</v>
      </c>
      <c r="H287" s="116"/>
      <c r="I287" s="117"/>
      <c r="J287" s="116"/>
      <c r="K287" s="80"/>
      <c r="L287" s="79"/>
      <c r="M287" s="79"/>
      <c r="AG287" s="79"/>
      <c r="AH287" s="79"/>
      <c r="DT287" s="99">
        <f t="shared" si="4"/>
        <v>0</v>
      </c>
    </row>
    <row r="288" spans="1:124" ht="56.25" x14ac:dyDescent="0.3">
      <c r="A288" s="143" t="s">
        <v>138</v>
      </c>
      <c r="B288" s="13">
        <v>905</v>
      </c>
      <c r="C288" s="14" t="s">
        <v>123</v>
      </c>
      <c r="D288" s="6" t="s">
        <v>128</v>
      </c>
      <c r="E288" s="15" t="s">
        <v>51</v>
      </c>
      <c r="F288" s="14" t="s">
        <v>50</v>
      </c>
      <c r="G288" s="57">
        <f>G289</f>
        <v>16252</v>
      </c>
      <c r="H288" s="116"/>
      <c r="I288" s="117"/>
      <c r="J288" s="116"/>
      <c r="K288" s="80"/>
      <c r="L288" s="79"/>
      <c r="M288" s="79"/>
      <c r="AG288" s="79"/>
      <c r="AH288" s="79"/>
      <c r="DT288" s="99">
        <f t="shared" si="4"/>
        <v>0</v>
      </c>
    </row>
    <row r="289" spans="1:124" ht="37.5" x14ac:dyDescent="0.3">
      <c r="A289" s="143" t="s">
        <v>52</v>
      </c>
      <c r="B289" s="13">
        <v>905</v>
      </c>
      <c r="C289" s="14" t="s">
        <v>123</v>
      </c>
      <c r="D289" s="6" t="s">
        <v>128</v>
      </c>
      <c r="E289" s="15" t="s">
        <v>53</v>
      </c>
      <c r="F289" s="14" t="s">
        <v>50</v>
      </c>
      <c r="G289" s="57">
        <f>G290+G296+G294</f>
        <v>16252</v>
      </c>
      <c r="H289" s="116"/>
      <c r="I289" s="117"/>
      <c r="J289" s="116"/>
      <c r="K289" s="80"/>
      <c r="L289" s="79"/>
      <c r="M289" s="79"/>
      <c r="AG289" s="79"/>
      <c r="AH289" s="79"/>
      <c r="DT289" s="99">
        <f t="shared" si="4"/>
        <v>0</v>
      </c>
    </row>
    <row r="290" spans="1:124" x14ac:dyDescent="0.3">
      <c r="A290" s="143" t="s">
        <v>82</v>
      </c>
      <c r="B290" s="13">
        <v>905</v>
      </c>
      <c r="C290" s="14" t="s">
        <v>123</v>
      </c>
      <c r="D290" s="6" t="s">
        <v>128</v>
      </c>
      <c r="E290" s="14" t="s">
        <v>43</v>
      </c>
      <c r="F290" s="14" t="s">
        <v>50</v>
      </c>
      <c r="G290" s="57">
        <f>G291+G292+G293</f>
        <v>11652</v>
      </c>
      <c r="H290" s="116"/>
      <c r="I290" s="117"/>
      <c r="J290" s="116"/>
      <c r="K290" s="80"/>
      <c r="L290" s="79"/>
      <c r="M290" s="79"/>
      <c r="AG290" s="79"/>
      <c r="AH290" s="79"/>
      <c r="DT290" s="99">
        <f t="shared" si="4"/>
        <v>0</v>
      </c>
    </row>
    <row r="291" spans="1:124" ht="93.75" x14ac:dyDescent="0.3">
      <c r="A291" s="143" t="s">
        <v>56</v>
      </c>
      <c r="B291" s="13">
        <v>905</v>
      </c>
      <c r="C291" s="14" t="s">
        <v>123</v>
      </c>
      <c r="D291" s="6" t="s">
        <v>128</v>
      </c>
      <c r="E291" s="14" t="s">
        <v>43</v>
      </c>
      <c r="F291" s="14" t="s">
        <v>57</v>
      </c>
      <c r="G291" s="57">
        <f>DT291</f>
        <v>10826.7</v>
      </c>
      <c r="H291" s="125">
        <v>10544.2</v>
      </c>
      <c r="I291" s="126"/>
      <c r="J291" s="125"/>
      <c r="K291" s="80"/>
      <c r="L291" s="79"/>
      <c r="M291" s="79"/>
      <c r="AG291" s="79"/>
      <c r="AH291" s="79">
        <v>-0.85419</v>
      </c>
      <c r="AK291" s="79">
        <v>8875.2999999999993</v>
      </c>
      <c r="BL291" s="194">
        <v>0.19500000000000001</v>
      </c>
      <c r="BM291" s="100">
        <v>10859.4</v>
      </c>
      <c r="CP291" s="259">
        <v>3538.7</v>
      </c>
      <c r="CS291" s="264">
        <f>47.9+13503.4</f>
        <v>13551.3</v>
      </c>
      <c r="CZ291" s="194">
        <v>-8000</v>
      </c>
      <c r="DF291" s="194">
        <v>-2.49735</v>
      </c>
      <c r="DO291" s="274">
        <f>15426.7-4600</f>
        <v>10826.7</v>
      </c>
      <c r="DT291" s="99">
        <f t="shared" si="4"/>
        <v>10826.7</v>
      </c>
    </row>
    <row r="292" spans="1:124" ht="37.5" x14ac:dyDescent="0.3">
      <c r="A292" s="143" t="s">
        <v>425</v>
      </c>
      <c r="B292" s="13">
        <v>905</v>
      </c>
      <c r="C292" s="14" t="s">
        <v>123</v>
      </c>
      <c r="D292" s="6" t="s">
        <v>128</v>
      </c>
      <c r="E292" s="14" t="s">
        <v>43</v>
      </c>
      <c r="F292" s="14" t="s">
        <v>59</v>
      </c>
      <c r="G292" s="57">
        <f>DT292</f>
        <v>825.30000000000007</v>
      </c>
      <c r="H292" s="125">
        <v>934.4</v>
      </c>
      <c r="I292" s="126"/>
      <c r="J292" s="125"/>
      <c r="K292" s="80"/>
      <c r="L292" s="79"/>
      <c r="M292" s="79"/>
      <c r="N292">
        <v>35</v>
      </c>
      <c r="T292">
        <f>25+6.9+44</f>
        <v>75.900000000000006</v>
      </c>
      <c r="AC292">
        <v>45</v>
      </c>
      <c r="AE292">
        <v>79</v>
      </c>
      <c r="AG292" s="79"/>
      <c r="AH292" s="79">
        <v>30</v>
      </c>
      <c r="AK292" s="79">
        <v>518.6</v>
      </c>
      <c r="AN292" s="150">
        <v>-36</v>
      </c>
      <c r="AS292" s="194">
        <v>8.4</v>
      </c>
      <c r="AZ292" s="226">
        <v>39.5</v>
      </c>
      <c r="BD292" s="226">
        <v>101.4</v>
      </c>
      <c r="BL292" s="194">
        <v>-0.19500000000000001</v>
      </c>
      <c r="BM292" s="100">
        <v>589.5</v>
      </c>
      <c r="BX292" s="151">
        <v>-16</v>
      </c>
      <c r="CP292" s="259">
        <v>94</v>
      </c>
      <c r="CS292" s="264">
        <f>702.4</f>
        <v>702.4</v>
      </c>
      <c r="CU292" s="258">
        <v>128.4</v>
      </c>
      <c r="CY292" s="194">
        <v>-14.298999999999999</v>
      </c>
      <c r="DL292" s="270">
        <v>67.5</v>
      </c>
      <c r="DQ292" s="99">
        <v>52.7</v>
      </c>
      <c r="DR292" s="99">
        <v>772.6</v>
      </c>
      <c r="DT292" s="99">
        <f t="shared" si="4"/>
        <v>825.30000000000007</v>
      </c>
    </row>
    <row r="293" spans="1:124" ht="28.5" customHeight="1" x14ac:dyDescent="0.3">
      <c r="A293" s="143" t="s">
        <v>175</v>
      </c>
      <c r="B293" s="13">
        <v>905</v>
      </c>
      <c r="C293" s="14" t="s">
        <v>123</v>
      </c>
      <c r="D293" s="6" t="s">
        <v>128</v>
      </c>
      <c r="E293" s="14" t="s">
        <v>43</v>
      </c>
      <c r="F293" s="14" t="s">
        <v>176</v>
      </c>
      <c r="G293" s="57">
        <v>0</v>
      </c>
      <c r="H293" s="116"/>
      <c r="I293" s="117"/>
      <c r="J293" s="116"/>
      <c r="K293" s="80"/>
      <c r="L293" s="79"/>
      <c r="M293" s="79"/>
      <c r="AG293" s="79"/>
      <c r="AH293" s="79">
        <v>0.85419</v>
      </c>
      <c r="AK293" s="79">
        <v>0</v>
      </c>
      <c r="DF293" s="194">
        <v>2.49735</v>
      </c>
      <c r="DT293" s="99">
        <f t="shared" si="4"/>
        <v>0</v>
      </c>
    </row>
    <row r="294" spans="1:124" ht="41.25" customHeight="1" x14ac:dyDescent="0.3">
      <c r="A294" s="162" t="s">
        <v>374</v>
      </c>
      <c r="B294" s="13">
        <v>905</v>
      </c>
      <c r="C294" s="14" t="s">
        <v>123</v>
      </c>
      <c r="D294" s="6" t="s">
        <v>128</v>
      </c>
      <c r="E294" s="14" t="s">
        <v>508</v>
      </c>
      <c r="F294" s="14" t="s">
        <v>50</v>
      </c>
      <c r="G294" s="72">
        <f>G295</f>
        <v>4600</v>
      </c>
      <c r="H294" s="116"/>
      <c r="I294" s="117"/>
      <c r="J294" s="116"/>
      <c r="K294" s="80"/>
      <c r="L294" s="79"/>
      <c r="M294" s="79"/>
      <c r="AG294" s="79"/>
      <c r="AH294" s="79"/>
      <c r="DT294" s="99">
        <f t="shared" si="4"/>
        <v>0</v>
      </c>
    </row>
    <row r="295" spans="1:124" ht="98.25" customHeight="1" x14ac:dyDescent="0.3">
      <c r="A295" s="143" t="s">
        <v>56</v>
      </c>
      <c r="B295" s="13">
        <v>905</v>
      </c>
      <c r="C295" s="14" t="s">
        <v>123</v>
      </c>
      <c r="D295" s="6" t="s">
        <v>128</v>
      </c>
      <c r="E295" s="14" t="s">
        <v>508</v>
      </c>
      <c r="F295" s="14" t="s">
        <v>57</v>
      </c>
      <c r="G295" s="72">
        <f>DT295</f>
        <v>4600</v>
      </c>
      <c r="H295" s="116"/>
      <c r="I295" s="117"/>
      <c r="J295" s="116"/>
      <c r="K295" s="80"/>
      <c r="L295" s="79"/>
      <c r="M295" s="79"/>
      <c r="AG295" s="79">
        <v>1046.5</v>
      </c>
      <c r="AH295" s="79"/>
      <c r="AK295" s="79">
        <v>0</v>
      </c>
      <c r="AP295" s="151">
        <v>809.1</v>
      </c>
      <c r="BK295" s="226">
        <v>323</v>
      </c>
      <c r="CY295" s="194">
        <v>8000</v>
      </c>
      <c r="DI295" s="270">
        <v>16.2</v>
      </c>
      <c r="DO295" s="274">
        <v>4600</v>
      </c>
      <c r="DT295" s="99">
        <f t="shared" si="4"/>
        <v>4600</v>
      </c>
    </row>
    <row r="296" spans="1:124" ht="37.5" hidden="1" customHeight="1" x14ac:dyDescent="0.3">
      <c r="A296" s="162" t="s">
        <v>378</v>
      </c>
      <c r="B296" s="13">
        <v>905</v>
      </c>
      <c r="C296" s="14" t="s">
        <v>123</v>
      </c>
      <c r="D296" s="6" t="s">
        <v>116</v>
      </c>
      <c r="E296" s="14" t="s">
        <v>505</v>
      </c>
      <c r="F296" s="14" t="s">
        <v>50</v>
      </c>
      <c r="G296" s="57">
        <v>0</v>
      </c>
      <c r="H296" s="116"/>
      <c r="I296" s="117"/>
      <c r="J296" s="116"/>
      <c r="K296" s="80"/>
      <c r="L296" s="79"/>
      <c r="M296" s="79"/>
      <c r="AG296" s="79"/>
      <c r="AH296" s="79"/>
      <c r="DT296" s="99">
        <f t="shared" si="4"/>
        <v>0</v>
      </c>
    </row>
    <row r="297" spans="1:124" ht="99.75" hidden="1" customHeight="1" x14ac:dyDescent="0.3">
      <c r="A297" s="143" t="s">
        <v>56</v>
      </c>
      <c r="B297" s="13">
        <v>905</v>
      </c>
      <c r="C297" s="14" t="s">
        <v>123</v>
      </c>
      <c r="D297" s="6" t="s">
        <v>116</v>
      </c>
      <c r="E297" s="14" t="s">
        <v>505</v>
      </c>
      <c r="F297" s="14" t="s">
        <v>57</v>
      </c>
      <c r="G297" s="57">
        <v>0</v>
      </c>
      <c r="H297" s="116"/>
      <c r="I297" s="117"/>
      <c r="J297" s="116"/>
      <c r="K297" s="80"/>
      <c r="L297" s="79"/>
      <c r="M297" s="79"/>
      <c r="AG297" s="79"/>
      <c r="AH297" s="79"/>
      <c r="DT297" s="99">
        <f t="shared" si="4"/>
        <v>0</v>
      </c>
    </row>
    <row r="298" spans="1:124" ht="37.5" x14ac:dyDescent="0.3">
      <c r="A298" s="162" t="s">
        <v>139</v>
      </c>
      <c r="B298" s="13">
        <v>905</v>
      </c>
      <c r="C298" s="14" t="s">
        <v>123</v>
      </c>
      <c r="D298" s="6" t="s">
        <v>128</v>
      </c>
      <c r="E298" s="15" t="s">
        <v>72</v>
      </c>
      <c r="F298" s="15" t="s">
        <v>50</v>
      </c>
      <c r="G298" s="57">
        <f>G299+G305</f>
        <v>3602.6</v>
      </c>
      <c r="H298" s="116"/>
      <c r="I298" s="117"/>
      <c r="J298" s="116"/>
      <c r="K298" s="80"/>
      <c r="L298" s="79"/>
      <c r="M298" s="79"/>
      <c r="AG298" s="79"/>
      <c r="AH298" s="79"/>
      <c r="DT298" s="99">
        <f t="shared" si="4"/>
        <v>0</v>
      </c>
    </row>
    <row r="299" spans="1:124" ht="37.5" x14ac:dyDescent="0.3">
      <c r="A299" s="143" t="s">
        <v>52</v>
      </c>
      <c r="B299" s="13">
        <v>905</v>
      </c>
      <c r="C299" s="14" t="s">
        <v>123</v>
      </c>
      <c r="D299" s="6" t="s">
        <v>128</v>
      </c>
      <c r="E299" s="15" t="s">
        <v>150</v>
      </c>
      <c r="F299" s="15" t="s">
        <v>50</v>
      </c>
      <c r="G299" s="57">
        <f>G300+G303</f>
        <v>3602.6</v>
      </c>
      <c r="H299" s="116"/>
      <c r="I299" s="117"/>
      <c r="J299" s="116"/>
      <c r="K299" s="80"/>
      <c r="L299" s="79"/>
      <c r="M299" s="79"/>
      <c r="AG299" s="79"/>
      <c r="AH299" s="79"/>
      <c r="DT299" s="99">
        <f t="shared" si="4"/>
        <v>0</v>
      </c>
    </row>
    <row r="300" spans="1:124" x14ac:dyDescent="0.3">
      <c r="A300" s="143" t="s">
        <v>78</v>
      </c>
      <c r="B300" s="13">
        <v>905</v>
      </c>
      <c r="C300" s="14" t="s">
        <v>123</v>
      </c>
      <c r="D300" s="6" t="s">
        <v>128</v>
      </c>
      <c r="E300" s="15" t="s">
        <v>151</v>
      </c>
      <c r="F300" s="15" t="s">
        <v>50</v>
      </c>
      <c r="G300" s="57">
        <f>G301+G302</f>
        <v>3602.6</v>
      </c>
      <c r="H300" s="116"/>
      <c r="I300" s="117"/>
      <c r="J300" s="116"/>
      <c r="K300" s="80"/>
      <c r="L300" s="79"/>
      <c r="M300" s="79"/>
      <c r="AG300" s="79"/>
      <c r="AH300" s="79"/>
      <c r="DT300" s="99">
        <f t="shared" si="4"/>
        <v>0</v>
      </c>
    </row>
    <row r="301" spans="1:124" ht="93.75" x14ac:dyDescent="0.3">
      <c r="A301" s="143" t="s">
        <v>56</v>
      </c>
      <c r="B301" s="13">
        <v>905</v>
      </c>
      <c r="C301" s="14" t="s">
        <v>123</v>
      </c>
      <c r="D301" s="6" t="s">
        <v>128</v>
      </c>
      <c r="E301" s="15" t="s">
        <v>151</v>
      </c>
      <c r="F301" s="15" t="s">
        <v>57</v>
      </c>
      <c r="G301" s="57">
        <f>DT301</f>
        <v>3520</v>
      </c>
      <c r="H301" s="125">
        <v>2534.6</v>
      </c>
      <c r="I301" s="126"/>
      <c r="J301" s="125"/>
      <c r="K301" s="80"/>
      <c r="L301" s="79"/>
      <c r="M301" s="79"/>
      <c r="AG301" s="79"/>
      <c r="AH301" s="79"/>
      <c r="AK301" s="79">
        <v>1769.8</v>
      </c>
      <c r="BK301" s="226">
        <v>-90</v>
      </c>
      <c r="BM301" s="100">
        <v>2532.6999999999998</v>
      </c>
      <c r="CP301" s="259">
        <v>377.4</v>
      </c>
      <c r="CS301" s="264">
        <v>3109.3</v>
      </c>
      <c r="CU301" s="258">
        <v>28</v>
      </c>
      <c r="DK301" s="270">
        <v>-4.7739799999999999</v>
      </c>
      <c r="DO301" s="274">
        <v>3520</v>
      </c>
      <c r="DT301" s="99">
        <f t="shared" si="4"/>
        <v>3520</v>
      </c>
    </row>
    <row r="302" spans="1:124" ht="37.5" x14ac:dyDescent="0.3">
      <c r="A302" s="143" t="s">
        <v>425</v>
      </c>
      <c r="B302" s="13">
        <v>905</v>
      </c>
      <c r="C302" s="14" t="s">
        <v>123</v>
      </c>
      <c r="D302" s="6" t="s">
        <v>128</v>
      </c>
      <c r="E302" s="15" t="s">
        <v>151</v>
      </c>
      <c r="F302" s="15" t="s">
        <v>59</v>
      </c>
      <c r="G302" s="57">
        <f>DT302</f>
        <v>82.6</v>
      </c>
      <c r="H302" s="125">
        <v>59.9</v>
      </c>
      <c r="I302" s="126"/>
      <c r="J302" s="125"/>
      <c r="K302" s="80"/>
      <c r="L302" s="79"/>
      <c r="M302" s="79"/>
      <c r="AC302">
        <v>5</v>
      </c>
      <c r="AG302" s="79"/>
      <c r="AH302" s="79"/>
      <c r="AK302" s="79">
        <v>65.900000000000006</v>
      </c>
      <c r="AV302" s="194">
        <v>14</v>
      </c>
      <c r="BM302" s="100">
        <v>72.8</v>
      </c>
      <c r="BX302" s="151">
        <v>79.5</v>
      </c>
      <c r="CP302" s="259">
        <f>-1.7-6.1</f>
        <v>-7.8</v>
      </c>
      <c r="CS302" s="264">
        <f>23.8+51.4</f>
        <v>75.2</v>
      </c>
      <c r="CU302" s="258">
        <v>1.7</v>
      </c>
      <c r="DK302" s="270">
        <v>4.7739799999999999</v>
      </c>
      <c r="DQ302" s="99">
        <v>26.1</v>
      </c>
      <c r="DR302" s="99">
        <v>56.5</v>
      </c>
      <c r="DT302" s="99">
        <f t="shared" si="4"/>
        <v>82.6</v>
      </c>
    </row>
    <row r="303" spans="1:124" ht="37.5" hidden="1" x14ac:dyDescent="0.3">
      <c r="A303" s="162" t="s">
        <v>374</v>
      </c>
      <c r="B303" s="13">
        <v>905</v>
      </c>
      <c r="C303" s="14" t="s">
        <v>123</v>
      </c>
      <c r="D303" s="6" t="s">
        <v>128</v>
      </c>
      <c r="E303" s="15" t="s">
        <v>509</v>
      </c>
      <c r="F303" s="15" t="s">
        <v>50</v>
      </c>
      <c r="G303" s="57">
        <f>G304</f>
        <v>0</v>
      </c>
      <c r="H303" s="116"/>
      <c r="I303" s="117"/>
      <c r="J303" s="116"/>
      <c r="K303" s="80"/>
      <c r="L303" s="79"/>
      <c r="M303" s="79"/>
      <c r="AG303" s="79"/>
      <c r="AH303" s="79"/>
      <c r="DT303" s="99">
        <f t="shared" si="4"/>
        <v>0</v>
      </c>
    </row>
    <row r="304" spans="1:124" ht="93.75" hidden="1" x14ac:dyDescent="0.3">
      <c r="A304" s="143" t="s">
        <v>56</v>
      </c>
      <c r="B304" s="13">
        <v>905</v>
      </c>
      <c r="C304" s="14" t="s">
        <v>123</v>
      </c>
      <c r="D304" s="6" t="s">
        <v>128</v>
      </c>
      <c r="E304" s="15" t="s">
        <v>509</v>
      </c>
      <c r="F304" s="15" t="s">
        <v>57</v>
      </c>
      <c r="G304" s="57">
        <v>0</v>
      </c>
      <c r="H304" s="116"/>
      <c r="I304" s="117"/>
      <c r="J304" s="116"/>
      <c r="K304" s="80"/>
      <c r="L304" s="79"/>
      <c r="M304" s="79"/>
      <c r="AG304" s="79">
        <v>36.799999999999997</v>
      </c>
      <c r="AH304" s="79"/>
      <c r="AK304" s="79">
        <v>0</v>
      </c>
      <c r="AP304" s="151">
        <v>302.89999999999998</v>
      </c>
      <c r="DT304" s="99">
        <f t="shared" si="4"/>
        <v>0</v>
      </c>
    </row>
    <row r="305" spans="1:124" hidden="1" x14ac:dyDescent="0.3">
      <c r="A305" s="143" t="s">
        <v>62</v>
      </c>
      <c r="B305" s="13">
        <v>905</v>
      </c>
      <c r="C305" s="14" t="s">
        <v>123</v>
      </c>
      <c r="D305" s="6" t="s">
        <v>128</v>
      </c>
      <c r="E305" s="14" t="s">
        <v>154</v>
      </c>
      <c r="F305" s="14" t="s">
        <v>50</v>
      </c>
      <c r="G305" s="57">
        <f>G306</f>
        <v>0</v>
      </c>
      <c r="H305" s="116"/>
      <c r="I305" s="117"/>
      <c r="J305" s="116"/>
      <c r="K305" s="80"/>
      <c r="L305" s="79"/>
      <c r="M305" s="79"/>
      <c r="AG305" s="79"/>
      <c r="AH305" s="79"/>
      <c r="DT305" s="99">
        <f t="shared" si="4"/>
        <v>0</v>
      </c>
    </row>
    <row r="306" spans="1:124" hidden="1" x14ac:dyDescent="0.3">
      <c r="A306" s="143" t="s">
        <v>153</v>
      </c>
      <c r="B306" s="13">
        <v>905</v>
      </c>
      <c r="C306" s="6" t="s">
        <v>123</v>
      </c>
      <c r="D306" s="6" t="s">
        <v>128</v>
      </c>
      <c r="E306" s="14" t="s">
        <v>155</v>
      </c>
      <c r="F306" s="14" t="s">
        <v>50</v>
      </c>
      <c r="G306" s="57">
        <f>G307</f>
        <v>0</v>
      </c>
      <c r="H306" s="116"/>
      <c r="I306" s="117"/>
      <c r="J306" s="116"/>
      <c r="K306" s="80"/>
      <c r="L306" s="79"/>
      <c r="M306" s="79"/>
      <c r="AG306" s="79"/>
      <c r="AH306" s="79"/>
      <c r="DT306" s="99">
        <f t="shared" si="4"/>
        <v>0</v>
      </c>
    </row>
    <row r="307" spans="1:124" ht="37.5" hidden="1" x14ac:dyDescent="0.3">
      <c r="A307" s="143" t="s">
        <v>425</v>
      </c>
      <c r="B307" s="13">
        <v>905</v>
      </c>
      <c r="C307" s="6" t="s">
        <v>123</v>
      </c>
      <c r="D307" s="6" t="s">
        <v>128</v>
      </c>
      <c r="E307" s="14" t="s">
        <v>155</v>
      </c>
      <c r="F307" s="14" t="s">
        <v>59</v>
      </c>
      <c r="G307" s="72">
        <v>0</v>
      </c>
      <c r="H307" s="116"/>
      <c r="I307" s="117"/>
      <c r="J307" s="116"/>
      <c r="K307" s="80"/>
      <c r="L307" s="79"/>
      <c r="M307" s="79"/>
      <c r="W307">
        <v>1</v>
      </c>
      <c r="AG307" s="79"/>
      <c r="AH307" s="79"/>
      <c r="AS307" s="194">
        <v>1.5</v>
      </c>
      <c r="AV307" s="194">
        <v>2</v>
      </c>
      <c r="BD307" s="226">
        <v>9.5</v>
      </c>
      <c r="BH307" s="233">
        <v>22</v>
      </c>
      <c r="BJ307" s="194">
        <v>1</v>
      </c>
      <c r="BX307" s="151">
        <v>12.5</v>
      </c>
      <c r="CJ307" s="194">
        <v>16</v>
      </c>
      <c r="CP307" s="259">
        <v>36</v>
      </c>
      <c r="CX307" s="270">
        <v>15.5</v>
      </c>
      <c r="DF307" s="194">
        <v>20.399999999999999</v>
      </c>
      <c r="DJ307" s="194">
        <v>5.0999999999999996</v>
      </c>
      <c r="DT307" s="99">
        <f t="shared" si="4"/>
        <v>0</v>
      </c>
    </row>
    <row r="308" spans="1:124" ht="56.25" x14ac:dyDescent="0.3">
      <c r="A308" s="156" t="s">
        <v>0</v>
      </c>
      <c r="B308" s="13">
        <v>905</v>
      </c>
      <c r="C308" s="6" t="s">
        <v>123</v>
      </c>
      <c r="D308" s="6" t="s">
        <v>128</v>
      </c>
      <c r="E308" s="15" t="s">
        <v>92</v>
      </c>
      <c r="F308" s="14" t="s">
        <v>50</v>
      </c>
      <c r="G308" s="57">
        <f>G311</f>
        <v>49</v>
      </c>
      <c r="H308" s="116"/>
      <c r="I308" s="117"/>
      <c r="J308" s="116"/>
      <c r="K308" s="80"/>
      <c r="L308" s="79"/>
      <c r="M308" s="79"/>
      <c r="AG308" s="79"/>
      <c r="AH308" s="79"/>
      <c r="DT308" s="99">
        <f t="shared" si="4"/>
        <v>0</v>
      </c>
    </row>
    <row r="309" spans="1:124" ht="75" hidden="1" x14ac:dyDescent="0.3">
      <c r="A309" s="156" t="s">
        <v>2</v>
      </c>
      <c r="B309" s="13">
        <v>905</v>
      </c>
      <c r="C309" s="6" t="s">
        <v>123</v>
      </c>
      <c r="D309" s="6" t="s">
        <v>128</v>
      </c>
      <c r="E309" s="15" t="s">
        <v>26</v>
      </c>
      <c r="F309" s="14" t="s">
        <v>50</v>
      </c>
      <c r="G309" s="57">
        <f>G310</f>
        <v>49</v>
      </c>
      <c r="H309" s="116"/>
      <c r="I309" s="117"/>
      <c r="J309" s="116"/>
      <c r="K309" s="80"/>
      <c r="L309" s="79"/>
      <c r="M309" s="79"/>
      <c r="AG309" s="79"/>
      <c r="AH309" s="79"/>
      <c r="DT309" s="99">
        <f t="shared" si="4"/>
        <v>0</v>
      </c>
    </row>
    <row r="310" spans="1:124" ht="75" hidden="1" x14ac:dyDescent="0.3">
      <c r="A310" s="143" t="s">
        <v>173</v>
      </c>
      <c r="B310" s="13">
        <v>905</v>
      </c>
      <c r="C310" s="6" t="s">
        <v>123</v>
      </c>
      <c r="D310" s="6" t="s">
        <v>128</v>
      </c>
      <c r="E310" s="14" t="s">
        <v>178</v>
      </c>
      <c r="F310" s="14" t="s">
        <v>50</v>
      </c>
      <c r="G310" s="57">
        <f>G311</f>
        <v>49</v>
      </c>
      <c r="H310" s="116"/>
      <c r="I310" s="117"/>
      <c r="J310" s="116"/>
      <c r="K310" s="80"/>
      <c r="L310" s="79"/>
      <c r="M310" s="79"/>
      <c r="AG310" s="79"/>
      <c r="AH310" s="79"/>
      <c r="DT310" s="99">
        <f t="shared" si="4"/>
        <v>0</v>
      </c>
    </row>
    <row r="311" spans="1:124" ht="93.75" x14ac:dyDescent="0.3">
      <c r="A311" s="143" t="s">
        <v>179</v>
      </c>
      <c r="B311" s="13">
        <v>905</v>
      </c>
      <c r="C311" s="6" t="s">
        <v>123</v>
      </c>
      <c r="D311" s="6" t="s">
        <v>128</v>
      </c>
      <c r="E311" s="113" t="s">
        <v>1163</v>
      </c>
      <c r="F311" s="14" t="s">
        <v>50</v>
      </c>
      <c r="G311" s="57">
        <f>G312+G313</f>
        <v>49</v>
      </c>
      <c r="H311" s="116"/>
      <c r="I311" s="117"/>
      <c r="J311" s="116"/>
      <c r="K311" s="80"/>
      <c r="L311" s="79"/>
      <c r="M311" s="79"/>
      <c r="AG311" s="79"/>
      <c r="AH311" s="79"/>
      <c r="DT311" s="99">
        <f t="shared" si="4"/>
        <v>0</v>
      </c>
    </row>
    <row r="312" spans="1:124" ht="93.75" x14ac:dyDescent="0.3">
      <c r="A312" s="143" t="s">
        <v>56</v>
      </c>
      <c r="B312" s="13">
        <v>905</v>
      </c>
      <c r="C312" s="6" t="s">
        <v>123</v>
      </c>
      <c r="D312" s="6" t="s">
        <v>128</v>
      </c>
      <c r="E312" s="113" t="s">
        <v>1163</v>
      </c>
      <c r="F312" s="14" t="s">
        <v>57</v>
      </c>
      <c r="G312" s="57">
        <f>DT312</f>
        <v>49</v>
      </c>
      <c r="H312" s="125"/>
      <c r="I312" s="126">
        <v>76</v>
      </c>
      <c r="J312" s="125"/>
      <c r="K312" s="80"/>
      <c r="L312" s="79"/>
      <c r="M312" s="79"/>
      <c r="AG312" s="79"/>
      <c r="AH312" s="79"/>
      <c r="AK312" s="79">
        <v>85.4</v>
      </c>
      <c r="BU312" s="151">
        <v>79.7</v>
      </c>
      <c r="CQ312" s="99">
        <v>66.7</v>
      </c>
      <c r="DN312" s="274">
        <v>49</v>
      </c>
      <c r="DT312" s="99">
        <f t="shared" si="4"/>
        <v>49</v>
      </c>
    </row>
    <row r="313" spans="1:124" ht="37.5" hidden="1" x14ac:dyDescent="0.3">
      <c r="A313" s="143" t="s">
        <v>425</v>
      </c>
      <c r="B313" s="13">
        <v>905</v>
      </c>
      <c r="C313" s="6" t="s">
        <v>123</v>
      </c>
      <c r="D313" s="6" t="s">
        <v>128</v>
      </c>
      <c r="E313" s="14" t="s">
        <v>845</v>
      </c>
      <c r="F313" s="14" t="s">
        <v>59</v>
      </c>
      <c r="G313" s="57">
        <v>0</v>
      </c>
      <c r="H313" s="125"/>
      <c r="I313" s="126">
        <v>13</v>
      </c>
      <c r="J313" s="125"/>
      <c r="K313" s="80"/>
      <c r="L313" s="79"/>
      <c r="M313" s="79"/>
      <c r="AG313" s="79"/>
      <c r="AH313" s="79"/>
      <c r="AK313" s="79">
        <v>14.6</v>
      </c>
      <c r="CQ313" s="99">
        <v>0</v>
      </c>
      <c r="DT313" s="99">
        <f t="shared" si="4"/>
        <v>0</v>
      </c>
    </row>
    <row r="314" spans="1:124" x14ac:dyDescent="0.3">
      <c r="A314" s="155" t="s">
        <v>129</v>
      </c>
      <c r="B314" s="12">
        <v>905</v>
      </c>
      <c r="C314" s="19" t="s">
        <v>130</v>
      </c>
      <c r="D314" s="19" t="s">
        <v>112</v>
      </c>
      <c r="E314" s="12" t="s">
        <v>49</v>
      </c>
      <c r="F314" s="9" t="s">
        <v>50</v>
      </c>
      <c r="G314" s="68">
        <f>G315</f>
        <v>18186.7</v>
      </c>
      <c r="H314" s="116"/>
      <c r="I314" s="117"/>
      <c r="J314" s="116"/>
      <c r="K314" s="80"/>
      <c r="L314" s="79"/>
      <c r="M314" s="79"/>
      <c r="AG314" s="79"/>
      <c r="AH314" s="79"/>
      <c r="DT314" s="99">
        <f t="shared" si="4"/>
        <v>0</v>
      </c>
    </row>
    <row r="315" spans="1:124" ht="37.5" x14ac:dyDescent="0.3">
      <c r="A315" s="155" t="s">
        <v>131</v>
      </c>
      <c r="B315" s="12">
        <v>905</v>
      </c>
      <c r="C315" s="19" t="s">
        <v>130</v>
      </c>
      <c r="D315" s="19" t="s">
        <v>121</v>
      </c>
      <c r="E315" s="12" t="s">
        <v>49</v>
      </c>
      <c r="F315" s="9" t="s">
        <v>50</v>
      </c>
      <c r="G315" s="68">
        <f>G316</f>
        <v>18186.7</v>
      </c>
      <c r="H315" s="116"/>
      <c r="I315" s="117"/>
      <c r="J315" s="116"/>
      <c r="K315" s="80"/>
      <c r="L315" s="79"/>
      <c r="M315" s="79"/>
      <c r="AG315" s="79"/>
      <c r="AH315" s="79"/>
      <c r="DT315" s="99">
        <f t="shared" si="4"/>
        <v>0</v>
      </c>
    </row>
    <row r="316" spans="1:124" ht="42.75" customHeight="1" x14ac:dyDescent="0.3">
      <c r="A316" s="143" t="s">
        <v>38</v>
      </c>
      <c r="B316" s="13">
        <v>905</v>
      </c>
      <c r="C316" s="6" t="s">
        <v>130</v>
      </c>
      <c r="D316" s="6" t="s">
        <v>121</v>
      </c>
      <c r="E316" s="15" t="s">
        <v>400</v>
      </c>
      <c r="F316" s="14" t="s">
        <v>50</v>
      </c>
      <c r="G316" s="57">
        <f>G317</f>
        <v>18186.7</v>
      </c>
      <c r="H316" s="116"/>
      <c r="I316" s="117"/>
      <c r="J316" s="116"/>
      <c r="K316" s="80"/>
      <c r="L316" s="79"/>
      <c r="M316" s="79"/>
      <c r="AG316" s="79"/>
      <c r="AH316" s="79"/>
      <c r="DT316" s="99">
        <f t="shared" si="4"/>
        <v>0</v>
      </c>
    </row>
    <row r="317" spans="1:124" ht="56.25" x14ac:dyDescent="0.3">
      <c r="A317" s="143" t="s">
        <v>138</v>
      </c>
      <c r="B317" s="13">
        <v>905</v>
      </c>
      <c r="C317" s="6" t="s">
        <v>130</v>
      </c>
      <c r="D317" s="6" t="s">
        <v>121</v>
      </c>
      <c r="E317" s="15" t="s">
        <v>51</v>
      </c>
      <c r="F317" s="14" t="s">
        <v>50</v>
      </c>
      <c r="G317" s="57">
        <f>G318</f>
        <v>18186.7</v>
      </c>
      <c r="H317" s="116"/>
      <c r="I317" s="117"/>
      <c r="J317" s="116"/>
      <c r="K317" s="80"/>
      <c r="L317" s="79"/>
      <c r="M317" s="79"/>
      <c r="AG317" s="79"/>
      <c r="AH317" s="79"/>
      <c r="DT317" s="99">
        <f t="shared" si="4"/>
        <v>0</v>
      </c>
    </row>
    <row r="318" spans="1:124" ht="37.5" x14ac:dyDescent="0.3">
      <c r="A318" s="143" t="s">
        <v>52</v>
      </c>
      <c r="B318" s="13">
        <v>905</v>
      </c>
      <c r="C318" s="6" t="s">
        <v>130</v>
      </c>
      <c r="D318" s="6" t="s">
        <v>121</v>
      </c>
      <c r="E318" s="15" t="s">
        <v>53</v>
      </c>
      <c r="F318" s="14" t="s">
        <v>50</v>
      </c>
      <c r="G318" s="57">
        <f>G319+G322</f>
        <v>18186.7</v>
      </c>
      <c r="H318" s="116"/>
      <c r="I318" s="117"/>
      <c r="J318" s="116"/>
      <c r="K318" s="80"/>
      <c r="L318" s="79"/>
      <c r="M318" s="79"/>
      <c r="AG318" s="79"/>
      <c r="AH318" s="79"/>
      <c r="DT318" s="99">
        <f t="shared" si="4"/>
        <v>0</v>
      </c>
    </row>
    <row r="319" spans="1:124" x14ac:dyDescent="0.3">
      <c r="A319" s="143" t="s">
        <v>82</v>
      </c>
      <c r="B319" s="13">
        <v>905</v>
      </c>
      <c r="C319" s="6" t="s">
        <v>130</v>
      </c>
      <c r="D319" s="6" t="s">
        <v>121</v>
      </c>
      <c r="E319" s="14" t="s">
        <v>43</v>
      </c>
      <c r="F319" s="14" t="s">
        <v>50</v>
      </c>
      <c r="G319" s="57">
        <f>G320+G321+G324+G325</f>
        <v>12686.7</v>
      </c>
      <c r="H319" s="116"/>
      <c r="I319" s="117"/>
      <c r="J319" s="116"/>
      <c r="K319" s="80"/>
      <c r="L319" s="79"/>
      <c r="M319" s="79"/>
      <c r="AG319" s="79"/>
      <c r="AH319" s="79"/>
      <c r="DT319" s="99">
        <f t="shared" si="4"/>
        <v>0</v>
      </c>
    </row>
    <row r="320" spans="1:124" ht="93.75" x14ac:dyDescent="0.3">
      <c r="A320" s="143" t="s">
        <v>56</v>
      </c>
      <c r="B320" s="13">
        <v>905</v>
      </c>
      <c r="C320" s="6" t="s">
        <v>130</v>
      </c>
      <c r="D320" s="6" t="s">
        <v>121</v>
      </c>
      <c r="E320" s="14" t="s">
        <v>43</v>
      </c>
      <c r="F320" s="14" t="s">
        <v>57</v>
      </c>
      <c r="G320" s="57">
        <f>DT320</f>
        <v>12686.7</v>
      </c>
      <c r="H320" s="125">
        <v>11296.8</v>
      </c>
      <c r="I320" s="126"/>
      <c r="J320" s="125"/>
      <c r="K320" s="80"/>
      <c r="L320" s="79"/>
      <c r="M320" s="79"/>
      <c r="AG320" s="79"/>
      <c r="AH320" s="79"/>
      <c r="AK320" s="79">
        <v>6286.2</v>
      </c>
      <c r="BJ320" s="194">
        <v>0.39</v>
      </c>
      <c r="BM320" s="100">
        <v>11753.5</v>
      </c>
      <c r="CS320" s="264">
        <v>14135.5</v>
      </c>
      <c r="CZ320" s="194">
        <v>-8000</v>
      </c>
      <c r="DL320" s="270">
        <v>1.5760000000000001</v>
      </c>
      <c r="DO320" s="274">
        <f>18186.7-5500</f>
        <v>12686.7</v>
      </c>
      <c r="DT320" s="99">
        <f t="shared" si="4"/>
        <v>12686.7</v>
      </c>
    </row>
    <row r="321" spans="1:124" ht="37.5" hidden="1" x14ac:dyDescent="0.3">
      <c r="A321" s="143" t="s">
        <v>425</v>
      </c>
      <c r="B321" s="13">
        <v>905</v>
      </c>
      <c r="C321" s="6" t="s">
        <v>130</v>
      </c>
      <c r="D321" s="6" t="s">
        <v>121</v>
      </c>
      <c r="E321" s="14" t="s">
        <v>43</v>
      </c>
      <c r="F321" s="14" t="s">
        <v>59</v>
      </c>
      <c r="G321" s="57">
        <v>0</v>
      </c>
      <c r="H321" s="116"/>
      <c r="I321" s="117"/>
      <c r="J321" s="116"/>
      <c r="K321" s="80"/>
      <c r="L321" s="79"/>
      <c r="M321" s="79"/>
      <c r="AG321" s="79"/>
      <c r="AH321" s="79"/>
      <c r="AN321" s="150">
        <v>36</v>
      </c>
      <c r="BJ321" s="194">
        <f>-0.39-21.4</f>
        <v>-21.79</v>
      </c>
      <c r="BX321" s="151">
        <v>16</v>
      </c>
      <c r="CY321" s="194">
        <v>14.298999999999999</v>
      </c>
      <c r="DT321" s="99">
        <f t="shared" si="4"/>
        <v>0</v>
      </c>
    </row>
    <row r="322" spans="1:124" ht="37.5" x14ac:dyDescent="0.3">
      <c r="A322" s="162" t="s">
        <v>374</v>
      </c>
      <c r="B322" s="13">
        <v>905</v>
      </c>
      <c r="C322" s="6" t="s">
        <v>130</v>
      </c>
      <c r="D322" s="6" t="s">
        <v>121</v>
      </c>
      <c r="E322" s="14" t="s">
        <v>508</v>
      </c>
      <c r="F322" s="14" t="s">
        <v>50</v>
      </c>
      <c r="G322" s="57">
        <f>G323</f>
        <v>5500</v>
      </c>
      <c r="H322" s="116"/>
      <c r="I322" s="117"/>
      <c r="J322" s="116"/>
      <c r="K322" s="80"/>
      <c r="L322" s="79"/>
      <c r="M322" s="79"/>
      <c r="AG322" s="79"/>
      <c r="AH322" s="79"/>
      <c r="DT322" s="99">
        <f t="shared" si="4"/>
        <v>0</v>
      </c>
    </row>
    <row r="323" spans="1:124" ht="93.75" x14ac:dyDescent="0.3">
      <c r="A323" s="143" t="s">
        <v>56</v>
      </c>
      <c r="B323" s="13">
        <v>905</v>
      </c>
      <c r="C323" s="6" t="s">
        <v>130</v>
      </c>
      <c r="D323" s="6" t="s">
        <v>121</v>
      </c>
      <c r="E323" s="14" t="s">
        <v>508</v>
      </c>
      <c r="F323" s="14" t="s">
        <v>57</v>
      </c>
      <c r="G323" s="57">
        <f>DT323</f>
        <v>5500</v>
      </c>
      <c r="H323" s="116"/>
      <c r="I323" s="117"/>
      <c r="J323" s="116"/>
      <c r="K323" s="80"/>
      <c r="L323" s="79"/>
      <c r="M323" s="79"/>
      <c r="AG323" s="79"/>
      <c r="AH323" s="79"/>
      <c r="AP323" s="151">
        <v>355.7</v>
      </c>
      <c r="BK323" s="226">
        <v>252</v>
      </c>
      <c r="CY323" s="194">
        <v>8000</v>
      </c>
      <c r="DI323" s="270">
        <v>2266.6999999999998</v>
      </c>
      <c r="DO323" s="274">
        <v>5500</v>
      </c>
      <c r="DT323" s="99">
        <f t="shared" si="4"/>
        <v>5500</v>
      </c>
    </row>
    <row r="324" spans="1:124" ht="37.5" hidden="1" x14ac:dyDescent="0.3">
      <c r="A324" s="143" t="s">
        <v>175</v>
      </c>
      <c r="B324" s="13">
        <v>905</v>
      </c>
      <c r="C324" s="6" t="s">
        <v>130</v>
      </c>
      <c r="D324" s="6" t="s">
        <v>121</v>
      </c>
      <c r="E324" s="14" t="s">
        <v>43</v>
      </c>
      <c r="F324" s="14" t="s">
        <v>176</v>
      </c>
      <c r="G324" s="57">
        <v>0</v>
      </c>
      <c r="H324" s="116"/>
      <c r="I324" s="117"/>
      <c r="J324" s="116"/>
      <c r="K324" s="80"/>
      <c r="L324" s="79"/>
      <c r="M324" s="79"/>
      <c r="AG324" s="79"/>
      <c r="AH324" s="79"/>
      <c r="CD324" s="226">
        <v>2.2999999999999998</v>
      </c>
      <c r="DT324" s="99">
        <f t="shared" si="4"/>
        <v>0</v>
      </c>
    </row>
    <row r="325" spans="1:124" ht="37.5" hidden="1" x14ac:dyDescent="0.3">
      <c r="A325" s="162" t="s">
        <v>374</v>
      </c>
      <c r="B325" s="13">
        <v>905</v>
      </c>
      <c r="C325" s="6" t="s">
        <v>130</v>
      </c>
      <c r="D325" s="6" t="s">
        <v>121</v>
      </c>
      <c r="E325" s="14" t="s">
        <v>508</v>
      </c>
      <c r="F325" s="14" t="s">
        <v>50</v>
      </c>
      <c r="G325" s="57">
        <f>G326</f>
        <v>0</v>
      </c>
      <c r="H325" s="116"/>
      <c r="I325" s="117"/>
      <c r="J325" s="116"/>
      <c r="K325" s="80"/>
      <c r="L325" s="79"/>
      <c r="M325" s="79"/>
      <c r="AG325" s="79"/>
      <c r="AH325" s="79"/>
      <c r="DT325" s="99">
        <f t="shared" si="4"/>
        <v>0</v>
      </c>
    </row>
    <row r="326" spans="1:124" ht="93.75" hidden="1" x14ac:dyDescent="0.3">
      <c r="A326" s="143" t="s">
        <v>56</v>
      </c>
      <c r="B326" s="13">
        <v>905</v>
      </c>
      <c r="C326" s="6" t="s">
        <v>130</v>
      </c>
      <c r="D326" s="6" t="s">
        <v>121</v>
      </c>
      <c r="E326" s="14" t="s">
        <v>508</v>
      </c>
      <c r="F326" s="14" t="s">
        <v>57</v>
      </c>
      <c r="G326" s="57">
        <v>0</v>
      </c>
      <c r="H326" s="116"/>
      <c r="I326" s="117"/>
      <c r="J326" s="116"/>
      <c r="K326" s="80"/>
      <c r="L326" s="79"/>
      <c r="M326" s="79"/>
      <c r="AG326" s="79"/>
      <c r="AH326" s="79"/>
      <c r="CO326" s="259">
        <v>1183.0999999999999</v>
      </c>
      <c r="DT326" s="99">
        <f t="shared" si="4"/>
        <v>0</v>
      </c>
    </row>
    <row r="327" spans="1:124" x14ac:dyDescent="0.3">
      <c r="A327" s="155" t="s">
        <v>166</v>
      </c>
      <c r="B327" s="12">
        <v>905</v>
      </c>
      <c r="C327" s="19">
        <v>10</v>
      </c>
      <c r="D327" s="19" t="s">
        <v>112</v>
      </c>
      <c r="E327" s="12" t="s">
        <v>49</v>
      </c>
      <c r="F327" s="9" t="s">
        <v>50</v>
      </c>
      <c r="G327" s="68">
        <f>G328+G341</f>
        <v>19306.8</v>
      </c>
      <c r="H327" s="116"/>
      <c r="I327" s="117"/>
      <c r="J327" s="116"/>
      <c r="K327" s="80"/>
      <c r="L327" s="79"/>
      <c r="M327" s="79"/>
      <c r="AG327" s="79"/>
      <c r="AH327" s="79"/>
      <c r="DT327" s="99">
        <f t="shared" si="4"/>
        <v>0</v>
      </c>
    </row>
    <row r="328" spans="1:124" x14ac:dyDescent="0.3">
      <c r="A328" s="155" t="s">
        <v>167</v>
      </c>
      <c r="B328" s="12">
        <v>905</v>
      </c>
      <c r="C328" s="19">
        <v>10</v>
      </c>
      <c r="D328" s="19" t="s">
        <v>117</v>
      </c>
      <c r="E328" s="12" t="s">
        <v>49</v>
      </c>
      <c r="F328" s="9" t="s">
        <v>50</v>
      </c>
      <c r="G328" s="68">
        <f>G335+G329</f>
        <v>3467.7</v>
      </c>
      <c r="H328" s="116"/>
      <c r="I328" s="117"/>
      <c r="J328" s="116"/>
      <c r="K328" s="80"/>
      <c r="L328" s="79"/>
      <c r="M328" s="79"/>
      <c r="AG328" s="79"/>
      <c r="AH328" s="79"/>
      <c r="DT328" s="99">
        <f t="shared" si="4"/>
        <v>0</v>
      </c>
    </row>
    <row r="329" spans="1:124" ht="56.25" hidden="1" x14ac:dyDescent="0.3">
      <c r="A329" s="143" t="s">
        <v>38</v>
      </c>
      <c r="B329" s="144">
        <v>905</v>
      </c>
      <c r="C329" s="145" t="s">
        <v>169</v>
      </c>
      <c r="D329" s="145" t="s">
        <v>117</v>
      </c>
      <c r="E329" s="144" t="s">
        <v>400</v>
      </c>
      <c r="F329" s="111" t="s">
        <v>50</v>
      </c>
      <c r="G329" s="57">
        <f>G330</f>
        <v>0</v>
      </c>
      <c r="H329" s="116"/>
      <c r="I329" s="117"/>
      <c r="J329" s="116"/>
      <c r="K329" s="80"/>
      <c r="L329" s="79"/>
      <c r="M329" s="79"/>
      <c r="AG329" s="79"/>
      <c r="AH329" s="79"/>
      <c r="DT329" s="99">
        <f t="shared" si="4"/>
        <v>0</v>
      </c>
    </row>
    <row r="330" spans="1:124" ht="37.5" hidden="1" x14ac:dyDescent="0.3">
      <c r="A330" s="143" t="s">
        <v>139</v>
      </c>
      <c r="B330" s="144">
        <v>905</v>
      </c>
      <c r="C330" s="145" t="s">
        <v>169</v>
      </c>
      <c r="D330" s="145" t="s">
        <v>117</v>
      </c>
      <c r="E330" s="144" t="s">
        <v>72</v>
      </c>
      <c r="F330" s="111" t="s">
        <v>50</v>
      </c>
      <c r="G330" s="57">
        <f>G331</f>
        <v>0</v>
      </c>
      <c r="H330" s="116"/>
      <c r="I330" s="117"/>
      <c r="J330" s="116"/>
      <c r="K330" s="80"/>
      <c r="L330" s="79"/>
      <c r="M330" s="79"/>
      <c r="AG330" s="79"/>
      <c r="AH330" s="79"/>
      <c r="DT330" s="99">
        <f t="shared" ref="DT330:DT393" si="5">DN330+DO330+DP330+DQ330+DR330+DS330</f>
        <v>0</v>
      </c>
    </row>
    <row r="331" spans="1:124" hidden="1" x14ac:dyDescent="0.3">
      <c r="A331" s="143" t="s">
        <v>62</v>
      </c>
      <c r="B331" s="144">
        <v>905</v>
      </c>
      <c r="C331" s="145" t="s">
        <v>169</v>
      </c>
      <c r="D331" s="145" t="s">
        <v>117</v>
      </c>
      <c r="E331" s="144" t="s">
        <v>154</v>
      </c>
      <c r="F331" s="111" t="s">
        <v>50</v>
      </c>
      <c r="G331" s="57">
        <f>G332</f>
        <v>0</v>
      </c>
      <c r="H331" s="116"/>
      <c r="I331" s="117"/>
      <c r="J331" s="116"/>
      <c r="K331" s="80"/>
      <c r="L331" s="79"/>
      <c r="M331" s="79"/>
      <c r="AG331" s="79"/>
      <c r="AH331" s="79"/>
      <c r="DT331" s="99">
        <f t="shared" si="5"/>
        <v>0</v>
      </c>
    </row>
    <row r="332" spans="1:124" hidden="1" x14ac:dyDescent="0.3">
      <c r="A332" s="143" t="s">
        <v>153</v>
      </c>
      <c r="B332" s="144">
        <v>905</v>
      </c>
      <c r="C332" s="145" t="s">
        <v>169</v>
      </c>
      <c r="D332" s="145" t="s">
        <v>117</v>
      </c>
      <c r="E332" s="111" t="s">
        <v>155</v>
      </c>
      <c r="F332" s="111" t="s">
        <v>50</v>
      </c>
      <c r="G332" s="57">
        <f>G333+G334</f>
        <v>0</v>
      </c>
      <c r="H332" s="116"/>
      <c r="I332" s="117"/>
      <c r="J332" s="116"/>
      <c r="K332" s="80"/>
      <c r="L332" s="79"/>
      <c r="M332" s="79"/>
      <c r="AG332" s="79"/>
      <c r="AH332" s="79"/>
      <c r="DT332" s="99">
        <f t="shared" si="5"/>
        <v>0</v>
      </c>
    </row>
    <row r="333" spans="1:124" ht="37.5" hidden="1" x14ac:dyDescent="0.3">
      <c r="A333" s="143" t="s">
        <v>175</v>
      </c>
      <c r="B333" s="144">
        <v>905</v>
      </c>
      <c r="C333" s="145" t="s">
        <v>169</v>
      </c>
      <c r="D333" s="145" t="s">
        <v>117</v>
      </c>
      <c r="E333" s="111" t="s">
        <v>155</v>
      </c>
      <c r="F333" s="111" t="s">
        <v>176</v>
      </c>
      <c r="G333" s="57">
        <v>0</v>
      </c>
      <c r="H333" s="116">
        <v>40</v>
      </c>
      <c r="I333" s="117"/>
      <c r="J333" s="116"/>
      <c r="K333" s="80"/>
      <c r="L333" s="79"/>
      <c r="M333" s="79"/>
      <c r="AG333" s="79"/>
      <c r="AH333" s="79"/>
      <c r="AV333" s="194">
        <v>-10</v>
      </c>
      <c r="BN333" s="237">
        <v>50</v>
      </c>
      <c r="BU333" s="151">
        <v>-20</v>
      </c>
      <c r="CR333" s="99">
        <v>50</v>
      </c>
      <c r="DT333" s="99">
        <f t="shared" si="5"/>
        <v>0</v>
      </c>
    </row>
    <row r="334" spans="1:124" ht="56.25" hidden="1" x14ac:dyDescent="0.3">
      <c r="A334" s="143" t="s">
        <v>264</v>
      </c>
      <c r="B334" s="144">
        <v>905</v>
      </c>
      <c r="C334" s="145" t="s">
        <v>169</v>
      </c>
      <c r="D334" s="145" t="s">
        <v>117</v>
      </c>
      <c r="E334" s="111" t="s">
        <v>155</v>
      </c>
      <c r="F334" s="14" t="s">
        <v>261</v>
      </c>
      <c r="G334" s="57">
        <v>0</v>
      </c>
      <c r="H334" s="116"/>
      <c r="I334" s="117"/>
      <c r="J334" s="116"/>
      <c r="K334" s="80"/>
      <c r="L334" s="79"/>
      <c r="M334" s="79"/>
      <c r="AG334" s="79"/>
      <c r="AH334" s="79"/>
      <c r="AV334" s="194">
        <v>10</v>
      </c>
      <c r="BU334" s="151">
        <v>20</v>
      </c>
      <c r="CH334" s="258">
        <v>10</v>
      </c>
      <c r="CX334" s="270">
        <v>15</v>
      </c>
      <c r="DF334" s="194">
        <v>15</v>
      </c>
      <c r="DT334" s="99">
        <f t="shared" si="5"/>
        <v>0</v>
      </c>
    </row>
    <row r="335" spans="1:124" ht="59.25" customHeight="1" x14ac:dyDescent="0.3">
      <c r="A335" s="156" t="s">
        <v>0</v>
      </c>
      <c r="B335" s="13">
        <v>905</v>
      </c>
      <c r="C335" s="6">
        <v>10</v>
      </c>
      <c r="D335" s="6" t="s">
        <v>117</v>
      </c>
      <c r="E335" s="15" t="s">
        <v>92</v>
      </c>
      <c r="F335" s="14" t="s">
        <v>50</v>
      </c>
      <c r="G335" s="57">
        <f>G336</f>
        <v>3467.7</v>
      </c>
      <c r="H335" s="116"/>
      <c r="I335" s="117"/>
      <c r="J335" s="116"/>
      <c r="K335" s="80"/>
      <c r="L335" s="79"/>
      <c r="M335" s="79"/>
      <c r="AG335" s="79"/>
      <c r="AH335" s="79"/>
      <c r="DT335" s="99">
        <f t="shared" si="5"/>
        <v>0</v>
      </c>
    </row>
    <row r="336" spans="1:124" ht="80.25" customHeight="1" x14ac:dyDescent="0.3">
      <c r="A336" s="156" t="s">
        <v>2</v>
      </c>
      <c r="B336" s="13">
        <v>905</v>
      </c>
      <c r="C336" s="6">
        <v>10</v>
      </c>
      <c r="D336" s="6" t="s">
        <v>117</v>
      </c>
      <c r="E336" s="15" t="s">
        <v>26</v>
      </c>
      <c r="F336" s="14" t="s">
        <v>50</v>
      </c>
      <c r="G336" s="57">
        <f>G337</f>
        <v>3467.7</v>
      </c>
      <c r="H336" s="116"/>
      <c r="I336" s="117"/>
      <c r="J336" s="116"/>
      <c r="K336" s="80"/>
      <c r="L336" s="79"/>
      <c r="M336" s="79"/>
      <c r="AG336" s="79"/>
      <c r="AH336" s="79"/>
      <c r="DT336" s="99">
        <f t="shared" si="5"/>
        <v>0</v>
      </c>
    </row>
    <row r="337" spans="1:124" ht="37.5" x14ac:dyDescent="0.3">
      <c r="A337" s="143" t="s">
        <v>168</v>
      </c>
      <c r="B337" s="13">
        <v>905</v>
      </c>
      <c r="C337" s="14" t="s">
        <v>169</v>
      </c>
      <c r="D337" s="6" t="s">
        <v>117</v>
      </c>
      <c r="E337" s="15" t="s">
        <v>170</v>
      </c>
      <c r="F337" s="14" t="s">
        <v>50</v>
      </c>
      <c r="G337" s="57">
        <f>G338+G339+G340</f>
        <v>3467.7</v>
      </c>
      <c r="H337" s="116"/>
      <c r="I337" s="117"/>
      <c r="J337" s="116"/>
      <c r="K337" s="80"/>
      <c r="L337" s="79"/>
      <c r="M337" s="79"/>
      <c r="AG337" s="79"/>
      <c r="AH337" s="79"/>
      <c r="DT337" s="99">
        <f t="shared" si="5"/>
        <v>0</v>
      </c>
    </row>
    <row r="338" spans="1:124" ht="37.5" x14ac:dyDescent="0.3">
      <c r="A338" s="143" t="s">
        <v>425</v>
      </c>
      <c r="B338" s="13">
        <v>905</v>
      </c>
      <c r="C338" s="14" t="s">
        <v>169</v>
      </c>
      <c r="D338" s="6" t="s">
        <v>117</v>
      </c>
      <c r="E338" s="15" t="s">
        <v>170</v>
      </c>
      <c r="F338" s="14" t="s">
        <v>59</v>
      </c>
      <c r="G338" s="87">
        <f>DT338</f>
        <v>3167.7</v>
      </c>
      <c r="H338" s="125">
        <v>2874.2</v>
      </c>
      <c r="I338" s="126"/>
      <c r="J338" s="125"/>
      <c r="K338" s="80"/>
      <c r="L338" s="79"/>
      <c r="M338" s="79">
        <v>1859</v>
      </c>
      <c r="U338">
        <v>-2.2999999999999998</v>
      </c>
      <c r="AC338">
        <v>500</v>
      </c>
      <c r="AG338" s="79"/>
      <c r="AH338" s="79">
        <v>234</v>
      </c>
      <c r="AK338" s="115">
        <v>1288.5</v>
      </c>
      <c r="BD338" s="226">
        <f>9+232.77949+160</f>
        <v>401.77949000000001</v>
      </c>
      <c r="BH338" s="233">
        <v>1452.1546000000001</v>
      </c>
      <c r="BL338" s="194">
        <v>-280</v>
      </c>
      <c r="BN338" s="237">
        <f>900+1430</f>
        <v>2330</v>
      </c>
      <c r="CB338" s="226">
        <v>290</v>
      </c>
      <c r="CD338" s="226">
        <v>190</v>
      </c>
      <c r="CF338" s="194">
        <f>475+30</f>
        <v>505</v>
      </c>
      <c r="CH338" s="258">
        <v>272</v>
      </c>
      <c r="CJ338" s="194">
        <v>380</v>
      </c>
      <c r="CL338" s="194">
        <v>90</v>
      </c>
      <c r="CP338" s="259">
        <f>1124.8+205</f>
        <v>1329.8</v>
      </c>
      <c r="CR338" s="99">
        <f>1720+1000</f>
        <v>2720</v>
      </c>
      <c r="CU338" s="258">
        <v>511.8</v>
      </c>
      <c r="CX338" s="270">
        <v>849</v>
      </c>
      <c r="CY338" s="194">
        <f>538+1078.786</f>
        <v>1616.7860000000001</v>
      </c>
      <c r="DC338" s="194">
        <v>535.5</v>
      </c>
      <c r="DD338" s="194">
        <v>842.4</v>
      </c>
      <c r="DF338" s="194">
        <v>883</v>
      </c>
      <c r="DL338" s="270">
        <v>382.8</v>
      </c>
      <c r="DS338" s="99">
        <f>2700+467.7</f>
        <v>3167.7</v>
      </c>
      <c r="DT338" s="99">
        <f t="shared" si="5"/>
        <v>3167.7</v>
      </c>
    </row>
    <row r="339" spans="1:124" ht="30.75" hidden="1" customHeight="1" x14ac:dyDescent="0.3">
      <c r="A339" s="143" t="s">
        <v>175</v>
      </c>
      <c r="B339" s="13">
        <v>905</v>
      </c>
      <c r="C339" s="14" t="s">
        <v>169</v>
      </c>
      <c r="D339" s="6" t="s">
        <v>117</v>
      </c>
      <c r="E339" s="15" t="s">
        <v>170</v>
      </c>
      <c r="F339" s="14" t="s">
        <v>176</v>
      </c>
      <c r="G339" s="72">
        <v>0</v>
      </c>
      <c r="H339" s="116"/>
      <c r="I339" s="117"/>
      <c r="J339" s="116"/>
      <c r="K339" s="80"/>
      <c r="L339" s="79"/>
      <c r="M339" s="79"/>
      <c r="U339">
        <v>2.2999999999999998</v>
      </c>
      <c r="AG339" s="79"/>
      <c r="AH339" s="79"/>
      <c r="AK339" s="79">
        <v>0</v>
      </c>
      <c r="DT339" s="99">
        <f t="shared" si="5"/>
        <v>0</v>
      </c>
    </row>
    <row r="340" spans="1:124" ht="52.5" customHeight="1" x14ac:dyDescent="0.3">
      <c r="A340" s="143" t="s">
        <v>264</v>
      </c>
      <c r="B340" s="13">
        <v>905</v>
      </c>
      <c r="C340" s="14" t="s">
        <v>169</v>
      </c>
      <c r="D340" s="6" t="s">
        <v>117</v>
      </c>
      <c r="E340" s="15" t="s">
        <v>170</v>
      </c>
      <c r="F340" s="14" t="s">
        <v>261</v>
      </c>
      <c r="G340" s="87">
        <f>DT340</f>
        <v>300</v>
      </c>
      <c r="H340" s="125">
        <v>828</v>
      </c>
      <c r="I340" s="126"/>
      <c r="J340" s="125"/>
      <c r="K340" s="80"/>
      <c r="L340" s="79">
        <v>70.5</v>
      </c>
      <c r="M340" s="79">
        <v>141</v>
      </c>
      <c r="AG340" s="79"/>
      <c r="AH340" s="79"/>
      <c r="AK340" s="115">
        <v>211.5</v>
      </c>
      <c r="BK340" s="226">
        <v>-87</v>
      </c>
      <c r="BN340" s="237">
        <v>370</v>
      </c>
      <c r="CP340" s="259">
        <v>138.19999999999999</v>
      </c>
      <c r="CR340" s="99">
        <v>280</v>
      </c>
      <c r="CX340" s="270">
        <v>58</v>
      </c>
      <c r="CY340" s="194">
        <v>160</v>
      </c>
      <c r="DF340" s="194">
        <v>76</v>
      </c>
      <c r="DL340" s="270">
        <v>62</v>
      </c>
      <c r="DS340" s="99">
        <v>300</v>
      </c>
      <c r="DT340" s="99">
        <f t="shared" si="5"/>
        <v>300</v>
      </c>
    </row>
    <row r="341" spans="1:124" x14ac:dyDescent="0.3">
      <c r="A341" s="155" t="s">
        <v>171</v>
      </c>
      <c r="B341" s="12">
        <v>905</v>
      </c>
      <c r="C341" s="19">
        <v>10</v>
      </c>
      <c r="D341" s="19" t="s">
        <v>121</v>
      </c>
      <c r="E341" s="12" t="s">
        <v>49</v>
      </c>
      <c r="F341" s="9" t="s">
        <v>50</v>
      </c>
      <c r="G341" s="68">
        <f>G342+G361</f>
        <v>15839.1</v>
      </c>
      <c r="H341" s="116"/>
      <c r="I341" s="117"/>
      <c r="J341" s="116"/>
      <c r="K341" s="80"/>
      <c r="L341" s="79"/>
      <c r="M341" s="79"/>
      <c r="AG341" s="79"/>
      <c r="AH341" s="79"/>
      <c r="DT341" s="99">
        <f t="shared" si="5"/>
        <v>0</v>
      </c>
    </row>
    <row r="342" spans="1:124" ht="42.75" hidden="1" customHeight="1" x14ac:dyDescent="0.3">
      <c r="A342" s="143" t="s">
        <v>38</v>
      </c>
      <c r="B342" s="13">
        <v>905</v>
      </c>
      <c r="C342" s="14" t="s">
        <v>169</v>
      </c>
      <c r="D342" s="6" t="s">
        <v>121</v>
      </c>
      <c r="E342" s="15" t="s">
        <v>400</v>
      </c>
      <c r="F342" s="15" t="s">
        <v>50</v>
      </c>
      <c r="G342" s="57">
        <f>G343+G357</f>
        <v>0</v>
      </c>
      <c r="H342" s="116"/>
      <c r="I342" s="117"/>
      <c r="J342" s="116"/>
      <c r="K342" s="80"/>
      <c r="L342" s="79"/>
      <c r="M342" s="79"/>
      <c r="AG342" s="79"/>
      <c r="AH342" s="79"/>
      <c r="DT342" s="99">
        <f t="shared" si="5"/>
        <v>0</v>
      </c>
    </row>
    <row r="343" spans="1:124" ht="56.25" hidden="1" x14ac:dyDescent="0.3">
      <c r="A343" s="143" t="s">
        <v>138</v>
      </c>
      <c r="B343" s="13">
        <v>905</v>
      </c>
      <c r="C343" s="14" t="s">
        <v>169</v>
      </c>
      <c r="D343" s="6" t="s">
        <v>121</v>
      </c>
      <c r="E343" s="15" t="s">
        <v>51</v>
      </c>
      <c r="F343" s="15" t="s">
        <v>50</v>
      </c>
      <c r="G343" s="57">
        <f>G344+G349+G352</f>
        <v>0</v>
      </c>
      <c r="H343" s="116"/>
      <c r="I343" s="117"/>
      <c r="J343" s="116"/>
      <c r="K343" s="80"/>
      <c r="L343" s="79"/>
      <c r="M343" s="79"/>
      <c r="AG343" s="79"/>
      <c r="AH343" s="79"/>
      <c r="DT343" s="99">
        <f t="shared" si="5"/>
        <v>0</v>
      </c>
    </row>
    <row r="344" spans="1:124" ht="37.5" hidden="1" x14ac:dyDescent="0.3">
      <c r="A344" s="143" t="s">
        <v>52</v>
      </c>
      <c r="B344" s="13">
        <v>905</v>
      </c>
      <c r="C344" s="14" t="s">
        <v>169</v>
      </c>
      <c r="D344" s="6" t="s">
        <v>121</v>
      </c>
      <c r="E344" s="14" t="s">
        <v>53</v>
      </c>
      <c r="F344" s="14" t="s">
        <v>50</v>
      </c>
      <c r="G344" s="57">
        <f>G345+G347</f>
        <v>0</v>
      </c>
      <c r="H344" s="116"/>
      <c r="I344" s="117"/>
      <c r="J344" s="116"/>
      <c r="K344" s="80"/>
      <c r="L344" s="79"/>
      <c r="M344" s="79"/>
      <c r="AG344" s="79"/>
      <c r="AH344" s="79"/>
      <c r="DT344" s="99">
        <f t="shared" si="5"/>
        <v>0</v>
      </c>
    </row>
    <row r="345" spans="1:124" hidden="1" x14ac:dyDescent="0.3">
      <c r="A345" s="143" t="s">
        <v>54</v>
      </c>
      <c r="B345" s="13">
        <v>905</v>
      </c>
      <c r="C345" s="14" t="s">
        <v>169</v>
      </c>
      <c r="D345" s="6" t="s">
        <v>121</v>
      </c>
      <c r="E345" s="14" t="s">
        <v>55</v>
      </c>
      <c r="F345" s="14" t="s">
        <v>50</v>
      </c>
      <c r="G345" s="57">
        <f>G346</f>
        <v>0</v>
      </c>
      <c r="H345" s="116"/>
      <c r="I345" s="117"/>
      <c r="J345" s="116"/>
      <c r="K345" s="80"/>
      <c r="L345" s="79"/>
      <c r="M345" s="79"/>
      <c r="AG345" s="79"/>
      <c r="AH345" s="79"/>
      <c r="DT345" s="99">
        <f t="shared" si="5"/>
        <v>0</v>
      </c>
    </row>
    <row r="346" spans="1:124" ht="93.75" hidden="1" x14ac:dyDescent="0.3">
      <c r="A346" s="143" t="s">
        <v>56</v>
      </c>
      <c r="B346" s="13">
        <v>905</v>
      </c>
      <c r="C346" s="14" t="s">
        <v>169</v>
      </c>
      <c r="D346" s="6" t="s">
        <v>121</v>
      </c>
      <c r="E346" s="14" t="s">
        <v>55</v>
      </c>
      <c r="F346" s="14" t="s">
        <v>57</v>
      </c>
      <c r="G346" s="57">
        <v>0</v>
      </c>
      <c r="H346" s="125"/>
      <c r="I346" s="126"/>
      <c r="J346" s="125"/>
      <c r="K346" s="80"/>
      <c r="L346" s="79"/>
      <c r="M346" s="79"/>
      <c r="AG346" s="79"/>
      <c r="AH346" s="79"/>
      <c r="AK346" s="79">
        <v>1.4</v>
      </c>
      <c r="DT346" s="99">
        <f t="shared" si="5"/>
        <v>0</v>
      </c>
    </row>
    <row r="347" spans="1:124" hidden="1" x14ac:dyDescent="0.3">
      <c r="A347" s="143" t="s">
        <v>82</v>
      </c>
      <c r="B347" s="13">
        <v>905</v>
      </c>
      <c r="C347" s="14" t="s">
        <v>169</v>
      </c>
      <c r="D347" s="6" t="s">
        <v>121</v>
      </c>
      <c r="E347" s="14" t="s">
        <v>43</v>
      </c>
      <c r="F347" s="14" t="s">
        <v>50</v>
      </c>
      <c r="G347" s="57">
        <f>G348</f>
        <v>0</v>
      </c>
      <c r="H347" s="116"/>
      <c r="I347" s="117"/>
      <c r="J347" s="116"/>
      <c r="K347" s="80"/>
      <c r="L347" s="79"/>
      <c r="M347" s="79"/>
      <c r="AG347" s="79"/>
      <c r="AH347" s="79"/>
      <c r="DT347" s="99">
        <f t="shared" si="5"/>
        <v>0</v>
      </c>
    </row>
    <row r="348" spans="1:124" ht="93.75" hidden="1" x14ac:dyDescent="0.3">
      <c r="A348" s="143" t="s">
        <v>56</v>
      </c>
      <c r="B348" s="13">
        <v>905</v>
      </c>
      <c r="C348" s="14" t="s">
        <v>169</v>
      </c>
      <c r="D348" s="6" t="s">
        <v>121</v>
      </c>
      <c r="E348" s="14" t="s">
        <v>43</v>
      </c>
      <c r="F348" s="14" t="s">
        <v>57</v>
      </c>
      <c r="G348" s="57">
        <v>0</v>
      </c>
      <c r="H348" s="125"/>
      <c r="I348" s="126"/>
      <c r="J348" s="125"/>
      <c r="K348" s="80"/>
      <c r="L348" s="79"/>
      <c r="M348" s="79"/>
      <c r="AG348" s="79"/>
      <c r="AH348" s="79"/>
      <c r="AK348" s="79">
        <v>0.7</v>
      </c>
      <c r="DT348" s="99">
        <f t="shared" si="5"/>
        <v>0</v>
      </c>
    </row>
    <row r="349" spans="1:124" hidden="1" x14ac:dyDescent="0.3">
      <c r="A349" s="143" t="s">
        <v>62</v>
      </c>
      <c r="B349" s="13">
        <v>905</v>
      </c>
      <c r="C349" s="14" t="s">
        <v>169</v>
      </c>
      <c r="D349" s="6" t="s">
        <v>121</v>
      </c>
      <c r="E349" s="14" t="s">
        <v>63</v>
      </c>
      <c r="F349" s="14" t="s">
        <v>50</v>
      </c>
      <c r="G349" s="57">
        <f>G350</f>
        <v>0</v>
      </c>
      <c r="H349" s="116"/>
      <c r="I349" s="117"/>
      <c r="J349" s="116"/>
      <c r="K349" s="80"/>
      <c r="L349" s="79"/>
      <c r="M349" s="79"/>
      <c r="AG349" s="79"/>
      <c r="AH349" s="79"/>
      <c r="DT349" s="99">
        <f t="shared" si="5"/>
        <v>0</v>
      </c>
    </row>
    <row r="350" spans="1:124" hidden="1" x14ac:dyDescent="0.3">
      <c r="A350" s="143" t="s">
        <v>66</v>
      </c>
      <c r="B350" s="13">
        <v>905</v>
      </c>
      <c r="C350" s="14" t="s">
        <v>169</v>
      </c>
      <c r="D350" s="6" t="s">
        <v>121</v>
      </c>
      <c r="E350" s="14" t="s">
        <v>67</v>
      </c>
      <c r="F350" s="14" t="s">
        <v>50</v>
      </c>
      <c r="G350" s="57">
        <f>G351</f>
        <v>0</v>
      </c>
      <c r="H350" s="116"/>
      <c r="I350" s="117"/>
      <c r="J350" s="116"/>
      <c r="K350" s="80"/>
      <c r="L350" s="79"/>
      <c r="M350" s="79"/>
      <c r="AG350" s="79"/>
      <c r="AH350" s="79"/>
      <c r="DT350" s="99">
        <f t="shared" si="5"/>
        <v>0</v>
      </c>
    </row>
    <row r="351" spans="1:124" ht="93.75" hidden="1" x14ac:dyDescent="0.3">
      <c r="A351" s="143" t="s">
        <v>56</v>
      </c>
      <c r="B351" s="13">
        <v>905</v>
      </c>
      <c r="C351" s="14" t="s">
        <v>169</v>
      </c>
      <c r="D351" s="6" t="s">
        <v>121</v>
      </c>
      <c r="E351" s="14" t="s">
        <v>67</v>
      </c>
      <c r="F351" s="14" t="s">
        <v>57</v>
      </c>
      <c r="G351" s="57">
        <v>0</v>
      </c>
      <c r="H351" s="116"/>
      <c r="I351" s="117"/>
      <c r="J351" s="116"/>
      <c r="K351" s="80"/>
      <c r="L351" s="79"/>
      <c r="M351" s="79"/>
      <c r="AG351" s="79"/>
      <c r="AH351" s="79"/>
      <c r="DT351" s="99">
        <f t="shared" si="5"/>
        <v>0</v>
      </c>
    </row>
    <row r="352" spans="1:124" ht="37.5" hidden="1" x14ac:dyDescent="0.3">
      <c r="A352" s="143" t="s">
        <v>68</v>
      </c>
      <c r="B352" s="13">
        <v>905</v>
      </c>
      <c r="C352" s="14" t="s">
        <v>169</v>
      </c>
      <c r="D352" s="6" t="s">
        <v>121</v>
      </c>
      <c r="E352" s="14" t="s">
        <v>69</v>
      </c>
      <c r="F352" s="14" t="s">
        <v>50</v>
      </c>
      <c r="G352" s="57">
        <f>G353+G355</f>
        <v>0</v>
      </c>
      <c r="H352" s="116"/>
      <c r="I352" s="117"/>
      <c r="J352" s="116"/>
      <c r="K352" s="80"/>
      <c r="L352" s="79"/>
      <c r="M352" s="79"/>
      <c r="AG352" s="79"/>
      <c r="AH352" s="79"/>
      <c r="DT352" s="99">
        <f t="shared" si="5"/>
        <v>0</v>
      </c>
    </row>
    <row r="353" spans="1:124" ht="93.75" hidden="1" customHeight="1" x14ac:dyDescent="0.3">
      <c r="A353" s="143" t="s">
        <v>76</v>
      </c>
      <c r="B353" s="13">
        <v>905</v>
      </c>
      <c r="C353" s="14" t="s">
        <v>169</v>
      </c>
      <c r="D353" s="6" t="s">
        <v>121</v>
      </c>
      <c r="E353" s="14" t="s">
        <v>41</v>
      </c>
      <c r="F353" s="14" t="s">
        <v>50</v>
      </c>
      <c r="G353" s="57">
        <f>G354</f>
        <v>0</v>
      </c>
      <c r="H353" s="116"/>
      <c r="I353" s="117"/>
      <c r="J353" s="116"/>
      <c r="K353" s="80"/>
      <c r="L353" s="79"/>
      <c r="M353" s="79"/>
      <c r="AG353" s="79"/>
      <c r="AH353" s="79"/>
      <c r="DT353" s="99">
        <f t="shared" si="5"/>
        <v>0</v>
      </c>
    </row>
    <row r="354" spans="1:124" ht="93.75" hidden="1" x14ac:dyDescent="0.3">
      <c r="A354" s="143" t="s">
        <v>56</v>
      </c>
      <c r="B354" s="13">
        <v>905</v>
      </c>
      <c r="C354" s="14" t="s">
        <v>169</v>
      </c>
      <c r="D354" s="6" t="s">
        <v>121</v>
      </c>
      <c r="E354" s="14" t="s">
        <v>41</v>
      </c>
      <c r="F354" s="14" t="s">
        <v>57</v>
      </c>
      <c r="G354" s="57">
        <v>0</v>
      </c>
      <c r="H354" s="125"/>
      <c r="I354" s="126"/>
      <c r="J354" s="125"/>
      <c r="K354" s="80"/>
      <c r="L354" s="79"/>
      <c r="M354" s="79"/>
      <c r="AG354" s="79"/>
      <c r="AH354" s="79"/>
      <c r="AK354" s="79">
        <v>0.7</v>
      </c>
      <c r="DT354" s="99">
        <f t="shared" si="5"/>
        <v>0</v>
      </c>
    </row>
    <row r="355" spans="1:124" ht="75" hidden="1" x14ac:dyDescent="0.3">
      <c r="A355" s="143" t="s">
        <v>70</v>
      </c>
      <c r="B355" s="13">
        <v>905</v>
      </c>
      <c r="C355" s="14" t="s">
        <v>169</v>
      </c>
      <c r="D355" s="6" t="s">
        <v>121</v>
      </c>
      <c r="E355" s="14" t="s">
        <v>71</v>
      </c>
      <c r="F355" s="14" t="s">
        <v>50</v>
      </c>
      <c r="G355" s="57">
        <f>G356</f>
        <v>0</v>
      </c>
      <c r="H355" s="116"/>
      <c r="I355" s="117"/>
      <c r="J355" s="116"/>
      <c r="K355" s="80"/>
      <c r="L355" s="79"/>
      <c r="M355" s="79"/>
      <c r="AG355" s="79"/>
      <c r="AH355" s="79"/>
      <c r="DT355" s="99">
        <f t="shared" si="5"/>
        <v>0</v>
      </c>
    </row>
    <row r="356" spans="1:124" ht="93.75" hidden="1" x14ac:dyDescent="0.3">
      <c r="A356" s="143" t="s">
        <v>56</v>
      </c>
      <c r="B356" s="13">
        <v>905</v>
      </c>
      <c r="C356" s="14" t="s">
        <v>169</v>
      </c>
      <c r="D356" s="6" t="s">
        <v>121</v>
      </c>
      <c r="E356" s="14" t="s">
        <v>71</v>
      </c>
      <c r="F356" s="14" t="s">
        <v>57</v>
      </c>
      <c r="G356" s="57">
        <v>0</v>
      </c>
      <c r="H356" s="116"/>
      <c r="I356" s="117"/>
      <c r="J356" s="116"/>
      <c r="K356" s="80"/>
      <c r="L356" s="79"/>
      <c r="M356" s="79"/>
      <c r="AG356" s="79"/>
      <c r="AH356" s="79"/>
      <c r="AK356" s="79">
        <v>0</v>
      </c>
      <c r="DT356" s="99">
        <f t="shared" si="5"/>
        <v>0</v>
      </c>
    </row>
    <row r="357" spans="1:124" ht="37.5" hidden="1" x14ac:dyDescent="0.3">
      <c r="A357" s="162" t="s">
        <v>139</v>
      </c>
      <c r="B357" s="13">
        <v>905</v>
      </c>
      <c r="C357" s="14" t="s">
        <v>169</v>
      </c>
      <c r="D357" s="6" t="s">
        <v>121</v>
      </c>
      <c r="E357" s="15" t="s">
        <v>72</v>
      </c>
      <c r="F357" s="15" t="s">
        <v>50</v>
      </c>
      <c r="G357" s="57">
        <f>G358</f>
        <v>0</v>
      </c>
      <c r="H357" s="116"/>
      <c r="I357" s="117"/>
      <c r="J357" s="116"/>
      <c r="K357" s="80"/>
      <c r="L357" s="79"/>
      <c r="M357" s="79"/>
      <c r="AG357" s="79"/>
      <c r="AH357" s="79"/>
      <c r="DT357" s="99">
        <f t="shared" si="5"/>
        <v>0</v>
      </c>
    </row>
    <row r="358" spans="1:124" ht="37.5" hidden="1" x14ac:dyDescent="0.3">
      <c r="A358" s="143" t="s">
        <v>52</v>
      </c>
      <c r="B358" s="13">
        <v>905</v>
      </c>
      <c r="C358" s="14" t="s">
        <v>169</v>
      </c>
      <c r="D358" s="6" t="s">
        <v>121</v>
      </c>
      <c r="E358" s="15" t="s">
        <v>150</v>
      </c>
      <c r="F358" s="15" t="s">
        <v>50</v>
      </c>
      <c r="G358" s="57">
        <f>G359</f>
        <v>0</v>
      </c>
      <c r="H358" s="116"/>
      <c r="I358" s="117"/>
      <c r="J358" s="116"/>
      <c r="K358" s="80"/>
      <c r="L358" s="79"/>
      <c r="M358" s="79"/>
      <c r="AG358" s="79"/>
      <c r="AH358" s="79"/>
      <c r="DT358" s="99">
        <f t="shared" si="5"/>
        <v>0</v>
      </c>
    </row>
    <row r="359" spans="1:124" hidden="1" x14ac:dyDescent="0.3">
      <c r="A359" s="143" t="s">
        <v>78</v>
      </c>
      <c r="B359" s="13">
        <v>905</v>
      </c>
      <c r="C359" s="14" t="s">
        <v>169</v>
      </c>
      <c r="D359" s="6" t="s">
        <v>121</v>
      </c>
      <c r="E359" s="15" t="s">
        <v>151</v>
      </c>
      <c r="F359" s="15" t="s">
        <v>50</v>
      </c>
      <c r="G359" s="57">
        <f>G360</f>
        <v>0</v>
      </c>
      <c r="H359" s="116"/>
      <c r="I359" s="117"/>
      <c r="J359" s="116"/>
      <c r="K359" s="80"/>
      <c r="L359" s="79"/>
      <c r="M359" s="79"/>
      <c r="AG359" s="79"/>
      <c r="AH359" s="79"/>
      <c r="DT359" s="99">
        <f t="shared" si="5"/>
        <v>0</v>
      </c>
    </row>
    <row r="360" spans="1:124" ht="93.75" hidden="1" x14ac:dyDescent="0.3">
      <c r="A360" s="143" t="s">
        <v>56</v>
      </c>
      <c r="B360" s="13">
        <v>905</v>
      </c>
      <c r="C360" s="14" t="s">
        <v>169</v>
      </c>
      <c r="D360" s="6" t="s">
        <v>121</v>
      </c>
      <c r="E360" s="15" t="s">
        <v>151</v>
      </c>
      <c r="F360" s="15" t="s">
        <v>57</v>
      </c>
      <c r="G360" s="57">
        <v>0</v>
      </c>
      <c r="H360" s="116"/>
      <c r="I360" s="117"/>
      <c r="J360" s="116"/>
      <c r="K360" s="80"/>
      <c r="L360" s="79"/>
      <c r="M360" s="79"/>
      <c r="AG360" s="79"/>
      <c r="AH360" s="79"/>
      <c r="DT360" s="99">
        <f t="shared" si="5"/>
        <v>0</v>
      </c>
    </row>
    <row r="361" spans="1:124" ht="56.25" x14ac:dyDescent="0.3">
      <c r="A361" s="156" t="s">
        <v>0</v>
      </c>
      <c r="B361" s="13">
        <v>905</v>
      </c>
      <c r="C361" s="6" t="s">
        <v>169</v>
      </c>
      <c r="D361" s="6" t="s">
        <v>121</v>
      </c>
      <c r="E361" s="15" t="s">
        <v>92</v>
      </c>
      <c r="F361" s="14" t="s">
        <v>50</v>
      </c>
      <c r="G361" s="57">
        <f>G362+G373</f>
        <v>15839.1</v>
      </c>
      <c r="H361" s="116"/>
      <c r="I361" s="117"/>
      <c r="J361" s="116"/>
      <c r="K361" s="80"/>
      <c r="L361" s="79"/>
      <c r="M361" s="79"/>
      <c r="AG361" s="79"/>
      <c r="AH361" s="79"/>
      <c r="DT361" s="99">
        <f t="shared" si="5"/>
        <v>0</v>
      </c>
    </row>
    <row r="362" spans="1:124" ht="82.5" customHeight="1" x14ac:dyDescent="0.3">
      <c r="A362" s="156" t="s">
        <v>2</v>
      </c>
      <c r="B362" s="13">
        <v>905</v>
      </c>
      <c r="C362" s="6">
        <v>10</v>
      </c>
      <c r="D362" s="6" t="s">
        <v>121</v>
      </c>
      <c r="E362" s="15" t="s">
        <v>26</v>
      </c>
      <c r="F362" s="14" t="s">
        <v>50</v>
      </c>
      <c r="G362" s="57">
        <f>G363+G368</f>
        <v>3145.1</v>
      </c>
      <c r="H362" s="116"/>
      <c r="I362" s="117"/>
      <c r="J362" s="116"/>
      <c r="K362" s="80"/>
      <c r="L362" s="79"/>
      <c r="M362" s="79"/>
      <c r="AG362" s="79"/>
      <c r="AH362" s="79"/>
      <c r="DT362" s="99">
        <f t="shared" si="5"/>
        <v>0</v>
      </c>
    </row>
    <row r="363" spans="1:124" ht="80.25" customHeight="1" x14ac:dyDescent="0.3">
      <c r="A363" s="143" t="s">
        <v>173</v>
      </c>
      <c r="B363" s="13">
        <v>905</v>
      </c>
      <c r="C363" s="6" t="s">
        <v>169</v>
      </c>
      <c r="D363" s="6" t="s">
        <v>121</v>
      </c>
      <c r="E363" s="14" t="s">
        <v>804</v>
      </c>
      <c r="F363" s="14" t="s">
        <v>50</v>
      </c>
      <c r="G363" s="57">
        <f>G364</f>
        <v>2453</v>
      </c>
      <c r="H363" s="116"/>
      <c r="I363" s="117"/>
      <c r="J363" s="116"/>
      <c r="K363" s="80"/>
      <c r="L363" s="79"/>
      <c r="M363" s="79"/>
      <c r="AG363" s="79"/>
      <c r="AH363" s="79"/>
      <c r="DT363" s="99">
        <f t="shared" si="5"/>
        <v>0</v>
      </c>
    </row>
    <row r="364" spans="1:124" ht="91.5" customHeight="1" x14ac:dyDescent="0.3">
      <c r="A364" s="143" t="s">
        <v>179</v>
      </c>
      <c r="B364" s="13">
        <v>905</v>
      </c>
      <c r="C364" s="6" t="s">
        <v>169</v>
      </c>
      <c r="D364" s="6" t="s">
        <v>121</v>
      </c>
      <c r="E364" s="113" t="s">
        <v>1163</v>
      </c>
      <c r="F364" s="14" t="s">
        <v>50</v>
      </c>
      <c r="G364" s="57">
        <f>G366+G367+G365</f>
        <v>2453</v>
      </c>
      <c r="H364" s="116"/>
      <c r="I364" s="117"/>
      <c r="J364" s="116"/>
      <c r="K364" s="80"/>
      <c r="L364" s="79"/>
      <c r="M364" s="79"/>
      <c r="AG364" s="79"/>
      <c r="AH364" s="79"/>
      <c r="DT364" s="99">
        <f t="shared" si="5"/>
        <v>0</v>
      </c>
    </row>
    <row r="365" spans="1:124" ht="97.5" hidden="1" customHeight="1" outlineLevel="1" x14ac:dyDescent="0.3">
      <c r="A365" s="143" t="s">
        <v>56</v>
      </c>
      <c r="B365" s="13">
        <v>905</v>
      </c>
      <c r="C365" s="6" t="s">
        <v>169</v>
      </c>
      <c r="D365" s="6" t="s">
        <v>121</v>
      </c>
      <c r="E365" s="14" t="s">
        <v>805</v>
      </c>
      <c r="F365" s="14" t="s">
        <v>57</v>
      </c>
      <c r="G365" s="72">
        <v>0</v>
      </c>
      <c r="H365" s="116"/>
      <c r="I365" s="117"/>
      <c r="J365" s="116"/>
      <c r="K365" s="80"/>
      <c r="L365" s="79"/>
      <c r="M365" s="79"/>
      <c r="AG365" s="79"/>
      <c r="AH365" s="79"/>
      <c r="BO365" s="238">
        <v>79.7</v>
      </c>
      <c r="BU365" s="151">
        <v>-79.7</v>
      </c>
      <c r="DT365" s="99">
        <f t="shared" si="5"/>
        <v>0</v>
      </c>
    </row>
    <row r="366" spans="1:124" ht="39.75" customHeight="1" collapsed="1" x14ac:dyDescent="0.3">
      <c r="A366" s="143" t="s">
        <v>425</v>
      </c>
      <c r="B366" s="13">
        <v>905</v>
      </c>
      <c r="C366" s="6" t="s">
        <v>169</v>
      </c>
      <c r="D366" s="6" t="s">
        <v>121</v>
      </c>
      <c r="E366" s="113" t="s">
        <v>1163</v>
      </c>
      <c r="F366" s="14" t="s">
        <v>59</v>
      </c>
      <c r="G366" s="57">
        <f>DT366</f>
        <v>26</v>
      </c>
      <c r="H366" s="125"/>
      <c r="I366" s="126">
        <v>32.4</v>
      </c>
      <c r="J366" s="125"/>
      <c r="K366" s="80"/>
      <c r="L366" s="79"/>
      <c r="M366" s="79"/>
      <c r="AG366" s="79"/>
      <c r="AH366" s="79"/>
      <c r="AK366" s="79">
        <v>36.4</v>
      </c>
      <c r="BO366" s="238">
        <v>28.9</v>
      </c>
      <c r="CQ366" s="99">
        <v>24.3</v>
      </c>
      <c r="DN366" s="274">
        <v>26</v>
      </c>
      <c r="DT366" s="99">
        <f t="shared" si="5"/>
        <v>26</v>
      </c>
    </row>
    <row r="367" spans="1:124" ht="27" customHeight="1" x14ac:dyDescent="0.3">
      <c r="A367" s="143" t="s">
        <v>175</v>
      </c>
      <c r="B367" s="13">
        <v>905</v>
      </c>
      <c r="C367" s="6" t="s">
        <v>169</v>
      </c>
      <c r="D367" s="6" t="s">
        <v>121</v>
      </c>
      <c r="E367" s="113" t="s">
        <v>1163</v>
      </c>
      <c r="F367" s="14" t="s">
        <v>176</v>
      </c>
      <c r="G367" s="57">
        <f>DT367</f>
        <v>2427</v>
      </c>
      <c r="H367" s="125"/>
      <c r="I367" s="126">
        <v>4047.5</v>
      </c>
      <c r="J367" s="125"/>
      <c r="K367" s="80"/>
      <c r="L367" s="79"/>
      <c r="M367" s="79"/>
      <c r="AG367" s="79"/>
      <c r="AH367" s="79"/>
      <c r="AK367" s="79">
        <v>4546.3999999999996</v>
      </c>
      <c r="BO367" s="238">
        <v>3606.4</v>
      </c>
      <c r="CQ367" s="99">
        <v>3036</v>
      </c>
      <c r="DI367" s="270">
        <v>-200</v>
      </c>
      <c r="DN367" s="274">
        <f>2502-75</f>
        <v>2427</v>
      </c>
      <c r="DT367" s="99">
        <f t="shared" si="5"/>
        <v>2427</v>
      </c>
    </row>
    <row r="368" spans="1:124" ht="180" customHeight="1" x14ac:dyDescent="0.3">
      <c r="A368" s="143" t="s">
        <v>923</v>
      </c>
      <c r="B368" s="13">
        <v>905</v>
      </c>
      <c r="C368" s="6" t="s">
        <v>169</v>
      </c>
      <c r="D368" s="6" t="s">
        <v>121</v>
      </c>
      <c r="E368" s="113" t="s">
        <v>1167</v>
      </c>
      <c r="F368" s="14" t="s">
        <v>50</v>
      </c>
      <c r="G368" s="57">
        <f>G369+G370+G372+G371</f>
        <v>692.1</v>
      </c>
      <c r="H368" s="125"/>
      <c r="I368" s="126"/>
      <c r="J368" s="125"/>
      <c r="K368" s="80"/>
      <c r="L368" s="79"/>
      <c r="M368" s="79"/>
      <c r="AG368" s="79"/>
      <c r="AH368" s="79"/>
      <c r="DT368" s="99">
        <f t="shared" si="5"/>
        <v>0</v>
      </c>
    </row>
    <row r="369" spans="1:124" ht="55.5" customHeight="1" x14ac:dyDescent="0.3">
      <c r="A369" s="143" t="s">
        <v>425</v>
      </c>
      <c r="B369" s="13">
        <v>905</v>
      </c>
      <c r="C369" s="6" t="s">
        <v>169</v>
      </c>
      <c r="D369" s="6" t="s">
        <v>121</v>
      </c>
      <c r="E369" s="113" t="s">
        <v>1167</v>
      </c>
      <c r="F369" s="14" t="s">
        <v>59</v>
      </c>
      <c r="G369" s="57">
        <f>DT369</f>
        <v>536</v>
      </c>
      <c r="H369" s="125"/>
      <c r="I369" s="126"/>
      <c r="J369" s="125"/>
      <c r="K369" s="80"/>
      <c r="L369" s="79"/>
      <c r="M369" s="79"/>
      <c r="AG369" s="79"/>
      <c r="AH369" s="79"/>
      <c r="CI369" s="194">
        <v>205.4</v>
      </c>
      <c r="CQ369" s="99">
        <v>1010</v>
      </c>
      <c r="DI369" s="270">
        <v>-206.54750000000001</v>
      </c>
      <c r="DM369" s="194">
        <v>-13.05</v>
      </c>
      <c r="DN369" s="274">
        <f>692.1-156.1</f>
        <v>536</v>
      </c>
      <c r="DT369" s="99">
        <f t="shared" si="5"/>
        <v>536</v>
      </c>
    </row>
    <row r="370" spans="1:124" ht="39.75" hidden="1" customHeight="1" x14ac:dyDescent="0.3">
      <c r="A370" s="143" t="s">
        <v>175</v>
      </c>
      <c r="B370" s="13">
        <v>905</v>
      </c>
      <c r="C370" s="6" t="s">
        <v>169</v>
      </c>
      <c r="D370" s="6" t="s">
        <v>121</v>
      </c>
      <c r="E370" s="14" t="s">
        <v>922</v>
      </c>
      <c r="F370" s="14" t="s">
        <v>176</v>
      </c>
      <c r="G370" s="57">
        <v>0</v>
      </c>
      <c r="H370" s="125"/>
      <c r="I370" s="126"/>
      <c r="J370" s="125"/>
      <c r="K370" s="80"/>
      <c r="L370" s="79"/>
      <c r="M370" s="79"/>
      <c r="AG370" s="79"/>
      <c r="AH370" s="79"/>
      <c r="CI370" s="194">
        <v>128</v>
      </c>
      <c r="DT370" s="99">
        <f t="shared" si="5"/>
        <v>0</v>
      </c>
    </row>
    <row r="371" spans="1:124" ht="39.75" hidden="1" customHeight="1" x14ac:dyDescent="0.3">
      <c r="A371" s="143" t="s">
        <v>175</v>
      </c>
      <c r="B371" s="13">
        <v>905</v>
      </c>
      <c r="C371" s="6" t="s">
        <v>169</v>
      </c>
      <c r="D371" s="6" t="s">
        <v>121</v>
      </c>
      <c r="E371" s="113" t="s">
        <v>1167</v>
      </c>
      <c r="F371" s="14" t="s">
        <v>176</v>
      </c>
      <c r="G371" s="57">
        <v>0</v>
      </c>
      <c r="H371" s="125"/>
      <c r="I371" s="126"/>
      <c r="J371" s="125"/>
      <c r="K371" s="80"/>
      <c r="L371" s="79"/>
      <c r="M371" s="79"/>
      <c r="AG371" s="79"/>
      <c r="AH371" s="79"/>
      <c r="DM371" s="194">
        <v>13.05</v>
      </c>
      <c r="DT371" s="99">
        <f t="shared" si="5"/>
        <v>0</v>
      </c>
    </row>
    <row r="372" spans="1:124" ht="51.75" customHeight="1" x14ac:dyDescent="0.3">
      <c r="A372" s="143" t="s">
        <v>264</v>
      </c>
      <c r="B372" s="13">
        <v>905</v>
      </c>
      <c r="C372" s="6" t="s">
        <v>169</v>
      </c>
      <c r="D372" s="6" t="s">
        <v>121</v>
      </c>
      <c r="E372" s="113" t="s">
        <v>1167</v>
      </c>
      <c r="F372" s="14" t="s">
        <v>261</v>
      </c>
      <c r="G372" s="57">
        <f>DN372</f>
        <v>156.1</v>
      </c>
      <c r="H372" s="125"/>
      <c r="I372" s="126"/>
      <c r="J372" s="125"/>
      <c r="K372" s="80"/>
      <c r="L372" s="79"/>
      <c r="M372" s="79"/>
      <c r="AG372" s="79"/>
      <c r="AH372" s="79"/>
      <c r="CI372" s="194">
        <v>83.5</v>
      </c>
      <c r="DI372" s="270">
        <v>-92.452500000000001</v>
      </c>
      <c r="DN372" s="274">
        <v>156.1</v>
      </c>
      <c r="DT372" s="99">
        <f t="shared" si="5"/>
        <v>156.1</v>
      </c>
    </row>
    <row r="373" spans="1:124" ht="55.5" customHeight="1" x14ac:dyDescent="0.3">
      <c r="A373" s="143" t="s">
        <v>172</v>
      </c>
      <c r="B373" s="13">
        <v>905</v>
      </c>
      <c r="C373" s="6" t="s">
        <v>169</v>
      </c>
      <c r="D373" s="6" t="s">
        <v>121</v>
      </c>
      <c r="E373" s="15" t="s">
        <v>94</v>
      </c>
      <c r="F373" s="14" t="s">
        <v>50</v>
      </c>
      <c r="G373" s="57">
        <f>G374</f>
        <v>12694</v>
      </c>
      <c r="H373" s="116"/>
      <c r="I373" s="117"/>
      <c r="J373" s="116"/>
      <c r="K373" s="80"/>
      <c r="L373" s="79"/>
      <c r="M373" s="79"/>
      <c r="AG373" s="79"/>
      <c r="AH373" s="79"/>
      <c r="DT373" s="99">
        <f t="shared" si="5"/>
        <v>0</v>
      </c>
    </row>
    <row r="374" spans="1:124" ht="75" hidden="1" x14ac:dyDescent="0.3">
      <c r="A374" s="143" t="s">
        <v>173</v>
      </c>
      <c r="B374" s="13">
        <v>905</v>
      </c>
      <c r="C374" s="6" t="s">
        <v>169</v>
      </c>
      <c r="D374" s="6" t="s">
        <v>121</v>
      </c>
      <c r="E374" s="14" t="s">
        <v>843</v>
      </c>
      <c r="F374" s="14" t="s">
        <v>50</v>
      </c>
      <c r="G374" s="57">
        <f>G375</f>
        <v>12694</v>
      </c>
      <c r="H374" s="116"/>
      <c r="I374" s="117"/>
      <c r="J374" s="116"/>
      <c r="K374" s="80"/>
      <c r="L374" s="79"/>
      <c r="M374" s="79"/>
      <c r="AG374" s="79"/>
      <c r="AH374" s="79"/>
      <c r="DT374" s="99">
        <f t="shared" si="5"/>
        <v>0</v>
      </c>
    </row>
    <row r="375" spans="1:124" ht="116.25" customHeight="1" x14ac:dyDescent="0.3">
      <c r="A375" s="143" t="s">
        <v>174</v>
      </c>
      <c r="B375" s="13">
        <v>905</v>
      </c>
      <c r="C375" s="6" t="s">
        <v>169</v>
      </c>
      <c r="D375" s="6" t="s">
        <v>121</v>
      </c>
      <c r="E375" s="113" t="s">
        <v>1161</v>
      </c>
      <c r="F375" s="14" t="s">
        <v>50</v>
      </c>
      <c r="G375" s="57">
        <f>G376+G377+G384</f>
        <v>12694</v>
      </c>
      <c r="H375" s="116"/>
      <c r="I375" s="117"/>
      <c r="J375" s="116"/>
      <c r="K375" s="80"/>
      <c r="L375" s="79"/>
      <c r="M375" s="79"/>
      <c r="AG375" s="79"/>
      <c r="AH375" s="79"/>
      <c r="BO375" s="238">
        <v>13074</v>
      </c>
      <c r="DT375" s="99">
        <f t="shared" si="5"/>
        <v>0</v>
      </c>
    </row>
    <row r="376" spans="1:124" ht="37.5" x14ac:dyDescent="0.3">
      <c r="A376" s="143" t="s">
        <v>425</v>
      </c>
      <c r="B376" s="13">
        <v>905</v>
      </c>
      <c r="C376" s="6" t="s">
        <v>169</v>
      </c>
      <c r="D376" s="6" t="s">
        <v>121</v>
      </c>
      <c r="E376" s="113" t="s">
        <v>1161</v>
      </c>
      <c r="F376" s="14" t="s">
        <v>59</v>
      </c>
      <c r="G376" s="57">
        <f>DT376</f>
        <v>114.8</v>
      </c>
      <c r="H376" s="125"/>
      <c r="I376" s="126">
        <v>160</v>
      </c>
      <c r="J376" s="125"/>
      <c r="K376" s="80"/>
      <c r="L376" s="79"/>
      <c r="M376" s="79"/>
      <c r="AG376" s="79"/>
      <c r="AH376" s="79"/>
      <c r="AK376" s="79">
        <v>150</v>
      </c>
      <c r="BO376" s="238">
        <v>162</v>
      </c>
      <c r="CQ376" s="99">
        <v>149</v>
      </c>
      <c r="DN376" s="274">
        <v>114.8</v>
      </c>
      <c r="DT376" s="99">
        <f t="shared" si="5"/>
        <v>114.8</v>
      </c>
    </row>
    <row r="377" spans="1:124" ht="28.5" customHeight="1" x14ac:dyDescent="0.3">
      <c r="A377" s="143" t="s">
        <v>175</v>
      </c>
      <c r="B377" s="13">
        <v>905</v>
      </c>
      <c r="C377" s="6" t="s">
        <v>169</v>
      </c>
      <c r="D377" s="6" t="s">
        <v>121</v>
      </c>
      <c r="E377" s="113" t="s">
        <v>1161</v>
      </c>
      <c r="F377" s="14" t="s">
        <v>176</v>
      </c>
      <c r="G377" s="57">
        <f>DT377</f>
        <v>12579.2</v>
      </c>
      <c r="H377" s="125"/>
      <c r="I377" s="126">
        <v>13267</v>
      </c>
      <c r="J377" s="125"/>
      <c r="K377" s="80"/>
      <c r="L377" s="79"/>
      <c r="M377" s="79"/>
      <c r="AG377" s="79">
        <v>410</v>
      </c>
      <c r="AH377" s="79"/>
      <c r="AK377" s="79">
        <v>11820</v>
      </c>
      <c r="BT377" s="151">
        <v>720</v>
      </c>
      <c r="CQ377" s="99">
        <v>14845</v>
      </c>
      <c r="CU377" s="258">
        <v>-137.4</v>
      </c>
      <c r="DB377" s="194">
        <f>19.1+28</f>
        <v>47.1</v>
      </c>
      <c r="DG377" s="194">
        <v>-81</v>
      </c>
      <c r="DI377" s="270">
        <v>-130</v>
      </c>
      <c r="DN377" s="274">
        <f>12694-114.8</f>
        <v>12579.2</v>
      </c>
      <c r="DT377" s="99">
        <f t="shared" si="5"/>
        <v>12579.2</v>
      </c>
    </row>
    <row r="378" spans="1:124" ht="28.5" hidden="1" customHeight="1" outlineLevel="1" x14ac:dyDescent="0.3">
      <c r="A378" s="210" t="s">
        <v>329</v>
      </c>
      <c r="B378" s="12">
        <v>905</v>
      </c>
      <c r="C378" s="22">
        <v>11</v>
      </c>
      <c r="D378" s="9" t="s">
        <v>112</v>
      </c>
      <c r="E378" s="113" t="s">
        <v>1161</v>
      </c>
      <c r="F378" s="9" t="s">
        <v>50</v>
      </c>
      <c r="G378" s="68">
        <f>G379</f>
        <v>0</v>
      </c>
      <c r="H378" s="116"/>
      <c r="I378" s="117"/>
      <c r="J378" s="116"/>
      <c r="K378" s="80"/>
      <c r="L378" s="79"/>
      <c r="M378" s="79"/>
      <c r="AG378" s="79"/>
      <c r="AH378" s="79"/>
      <c r="DT378" s="99">
        <f t="shared" si="5"/>
        <v>0</v>
      </c>
    </row>
    <row r="379" spans="1:124" ht="28.5" hidden="1" customHeight="1" outlineLevel="1" x14ac:dyDescent="0.3">
      <c r="A379" s="210" t="s">
        <v>330</v>
      </c>
      <c r="B379" s="12">
        <v>905</v>
      </c>
      <c r="C379" s="22">
        <v>11</v>
      </c>
      <c r="D379" s="9" t="s">
        <v>116</v>
      </c>
      <c r="E379" s="22" t="s">
        <v>49</v>
      </c>
      <c r="F379" s="9" t="s">
        <v>50</v>
      </c>
      <c r="G379" s="68">
        <f>G380</f>
        <v>0</v>
      </c>
      <c r="H379" s="116"/>
      <c r="I379" s="117"/>
      <c r="J379" s="116"/>
      <c r="K379" s="80"/>
      <c r="L379" s="79"/>
      <c r="M379" s="79"/>
      <c r="AG379" s="79"/>
      <c r="AH379" s="79"/>
      <c r="DT379" s="99">
        <f t="shared" si="5"/>
        <v>0</v>
      </c>
    </row>
    <row r="380" spans="1:124" ht="62.25" hidden="1" customHeight="1" outlineLevel="1" x14ac:dyDescent="0.3">
      <c r="A380" s="156" t="s">
        <v>159</v>
      </c>
      <c r="B380" s="13">
        <v>905</v>
      </c>
      <c r="C380" s="6" t="s">
        <v>183</v>
      </c>
      <c r="D380" s="6" t="s">
        <v>116</v>
      </c>
      <c r="E380" s="14" t="s">
        <v>91</v>
      </c>
      <c r="F380" s="14" t="s">
        <v>50</v>
      </c>
      <c r="G380" s="57">
        <f>G381</f>
        <v>0</v>
      </c>
      <c r="H380" s="116"/>
      <c r="I380" s="117"/>
      <c r="J380" s="116"/>
      <c r="K380" s="80"/>
      <c r="L380" s="79"/>
      <c r="M380" s="79"/>
      <c r="AG380" s="79"/>
      <c r="AH380" s="79"/>
      <c r="DT380" s="99">
        <f t="shared" si="5"/>
        <v>0</v>
      </c>
    </row>
    <row r="381" spans="1:124" ht="28.5" hidden="1" customHeight="1" outlineLevel="1" x14ac:dyDescent="0.3">
      <c r="A381" s="143" t="s">
        <v>62</v>
      </c>
      <c r="B381" s="13">
        <v>905</v>
      </c>
      <c r="C381" s="6" t="s">
        <v>183</v>
      </c>
      <c r="D381" s="6" t="s">
        <v>116</v>
      </c>
      <c r="E381" s="14" t="s">
        <v>332</v>
      </c>
      <c r="F381" s="14" t="s">
        <v>50</v>
      </c>
      <c r="G381" s="57">
        <f>G382</f>
        <v>0</v>
      </c>
      <c r="H381" s="116"/>
      <c r="I381" s="117"/>
      <c r="J381" s="116"/>
      <c r="K381" s="80"/>
      <c r="L381" s="79"/>
      <c r="M381" s="79"/>
      <c r="AG381" s="79"/>
      <c r="AH381" s="79"/>
      <c r="DT381" s="99">
        <f t="shared" si="5"/>
        <v>0</v>
      </c>
    </row>
    <row r="382" spans="1:124" ht="29.25" hidden="1" customHeight="1" outlineLevel="1" x14ac:dyDescent="0.3">
      <c r="A382" s="143" t="s">
        <v>331</v>
      </c>
      <c r="B382" s="13">
        <v>905</v>
      </c>
      <c r="C382" s="6" t="s">
        <v>183</v>
      </c>
      <c r="D382" s="6" t="s">
        <v>116</v>
      </c>
      <c r="E382" s="14" t="s">
        <v>333</v>
      </c>
      <c r="F382" s="14" t="s">
        <v>50</v>
      </c>
      <c r="G382" s="57">
        <f>G383</f>
        <v>0</v>
      </c>
      <c r="H382" s="116"/>
      <c r="I382" s="117"/>
      <c r="J382" s="116"/>
      <c r="K382" s="80"/>
      <c r="L382" s="79"/>
      <c r="M382" s="79"/>
      <c r="AG382" s="79"/>
      <c r="AH382" s="79"/>
      <c r="DT382" s="99">
        <f t="shared" si="5"/>
        <v>0</v>
      </c>
    </row>
    <row r="383" spans="1:124" ht="38.25" hidden="1" customHeight="1" outlineLevel="1" x14ac:dyDescent="0.3">
      <c r="A383" s="143" t="s">
        <v>425</v>
      </c>
      <c r="B383" s="13">
        <v>905</v>
      </c>
      <c r="C383" s="6" t="s">
        <v>183</v>
      </c>
      <c r="D383" s="6" t="s">
        <v>116</v>
      </c>
      <c r="E383" s="14" t="s">
        <v>333</v>
      </c>
      <c r="F383" s="14" t="s">
        <v>59</v>
      </c>
      <c r="G383" s="57">
        <f>7-7</f>
        <v>0</v>
      </c>
      <c r="H383" s="116"/>
      <c r="I383" s="117"/>
      <c r="J383" s="116"/>
      <c r="K383" s="80"/>
      <c r="L383" s="79"/>
      <c r="M383" s="79"/>
      <c r="AG383" s="79"/>
      <c r="AH383" s="79"/>
      <c r="DT383" s="99">
        <f t="shared" si="5"/>
        <v>0</v>
      </c>
    </row>
    <row r="384" spans="1:124" ht="38.25" hidden="1" customHeight="1" outlineLevel="1" x14ac:dyDescent="0.3">
      <c r="A384" s="143" t="s">
        <v>264</v>
      </c>
      <c r="B384" s="13">
        <v>905</v>
      </c>
      <c r="C384" s="6" t="s">
        <v>169</v>
      </c>
      <c r="D384" s="6" t="s">
        <v>121</v>
      </c>
      <c r="E384" s="113" t="s">
        <v>1161</v>
      </c>
      <c r="F384" s="14" t="s">
        <v>261</v>
      </c>
      <c r="G384" s="57">
        <v>0</v>
      </c>
      <c r="H384" s="116"/>
      <c r="I384" s="117"/>
      <c r="J384" s="116"/>
      <c r="K384" s="80"/>
      <c r="L384" s="79"/>
      <c r="M384" s="79"/>
      <c r="AG384" s="79"/>
      <c r="AH384" s="79"/>
      <c r="CU384" s="258">
        <v>137.4</v>
      </c>
      <c r="DB384" s="194">
        <v>0.1</v>
      </c>
      <c r="DT384" s="99">
        <f t="shared" si="5"/>
        <v>0</v>
      </c>
    </row>
    <row r="385" spans="1:124" ht="56.25" collapsed="1" x14ac:dyDescent="0.3">
      <c r="A385" s="206" t="s">
        <v>348</v>
      </c>
      <c r="B385" s="10">
        <v>912</v>
      </c>
      <c r="C385" s="11" t="s">
        <v>112</v>
      </c>
      <c r="D385" s="11" t="s">
        <v>112</v>
      </c>
      <c r="E385" s="11" t="s">
        <v>49</v>
      </c>
      <c r="F385" s="11" t="s">
        <v>50</v>
      </c>
      <c r="G385" s="71">
        <f>G386+G421+G428+G407</f>
        <v>13331.800000000001</v>
      </c>
      <c r="H385" s="116"/>
      <c r="I385" s="117"/>
      <c r="J385" s="116"/>
      <c r="K385" s="80"/>
      <c r="L385" s="79"/>
      <c r="M385" s="79"/>
      <c r="AG385" s="79"/>
      <c r="AH385" s="79"/>
      <c r="DT385" s="99">
        <f t="shared" si="5"/>
        <v>0</v>
      </c>
    </row>
    <row r="386" spans="1:124" x14ac:dyDescent="0.3">
      <c r="A386" s="205" t="s">
        <v>114</v>
      </c>
      <c r="B386" s="12">
        <v>912</v>
      </c>
      <c r="C386" s="9" t="s">
        <v>115</v>
      </c>
      <c r="D386" s="9" t="s">
        <v>112</v>
      </c>
      <c r="E386" s="9" t="s">
        <v>49</v>
      </c>
      <c r="F386" s="9" t="s">
        <v>50</v>
      </c>
      <c r="G386" s="68">
        <f>G387+G402</f>
        <v>13331.800000000001</v>
      </c>
      <c r="H386" s="116"/>
      <c r="I386" s="117"/>
      <c r="J386" s="116"/>
      <c r="K386" s="80"/>
      <c r="L386" s="79"/>
      <c r="M386" s="79"/>
      <c r="AG386" s="79"/>
      <c r="AH386" s="79"/>
      <c r="DT386" s="99">
        <f t="shared" si="5"/>
        <v>0</v>
      </c>
    </row>
    <row r="387" spans="1:124" ht="75" x14ac:dyDescent="0.3">
      <c r="A387" s="205" t="s">
        <v>120</v>
      </c>
      <c r="B387" s="12">
        <v>912</v>
      </c>
      <c r="C387" s="9" t="s">
        <v>115</v>
      </c>
      <c r="D387" s="9" t="s">
        <v>121</v>
      </c>
      <c r="E387" s="9" t="s">
        <v>49</v>
      </c>
      <c r="F387" s="9" t="s">
        <v>50</v>
      </c>
      <c r="G387" s="68">
        <f>G388</f>
        <v>13231.800000000001</v>
      </c>
      <c r="H387" s="116"/>
      <c r="I387" s="117"/>
      <c r="J387" s="116"/>
      <c r="K387" s="80"/>
      <c r="L387" s="79"/>
      <c r="M387" s="79"/>
      <c r="V387" t="s">
        <v>610</v>
      </c>
      <c r="AG387" s="79"/>
      <c r="AH387" s="79"/>
      <c r="DT387" s="99">
        <f t="shared" si="5"/>
        <v>0</v>
      </c>
    </row>
    <row r="388" spans="1:124" ht="56.25" x14ac:dyDescent="0.3">
      <c r="A388" s="208" t="s">
        <v>16</v>
      </c>
      <c r="B388" s="13">
        <v>912</v>
      </c>
      <c r="C388" s="14" t="s">
        <v>115</v>
      </c>
      <c r="D388" s="14" t="s">
        <v>121</v>
      </c>
      <c r="E388" s="15" t="s">
        <v>32</v>
      </c>
      <c r="F388" s="15" t="s">
        <v>50</v>
      </c>
      <c r="G388" s="57">
        <f>G389+G400</f>
        <v>13231.800000000001</v>
      </c>
      <c r="H388" s="116"/>
      <c r="I388" s="117"/>
      <c r="J388" s="116"/>
      <c r="K388" s="80"/>
      <c r="L388" s="79"/>
      <c r="M388" s="79"/>
      <c r="AG388" s="79"/>
      <c r="AH388" s="79"/>
      <c r="DT388" s="99">
        <f t="shared" si="5"/>
        <v>0</v>
      </c>
    </row>
    <row r="389" spans="1:124" ht="40.5" customHeight="1" x14ac:dyDescent="0.3">
      <c r="A389" s="162" t="s">
        <v>18</v>
      </c>
      <c r="B389" s="13">
        <v>912</v>
      </c>
      <c r="C389" s="14" t="s">
        <v>115</v>
      </c>
      <c r="D389" s="14" t="s">
        <v>121</v>
      </c>
      <c r="E389" s="15" t="s">
        <v>34</v>
      </c>
      <c r="F389" s="15" t="s">
        <v>50</v>
      </c>
      <c r="G389" s="57">
        <f>G390+G398</f>
        <v>13231.800000000001</v>
      </c>
      <c r="H389" s="116"/>
      <c r="I389" s="117"/>
      <c r="J389" s="116"/>
      <c r="K389" s="80"/>
      <c r="L389" s="79"/>
      <c r="M389" s="79"/>
      <c r="AG389" s="79"/>
      <c r="AH389" s="79"/>
      <c r="DT389" s="99">
        <f t="shared" si="5"/>
        <v>0</v>
      </c>
    </row>
    <row r="390" spans="1:124" ht="81.75" customHeight="1" x14ac:dyDescent="0.3">
      <c r="A390" s="143" t="s">
        <v>103</v>
      </c>
      <c r="B390" s="13">
        <v>912</v>
      </c>
      <c r="C390" s="14" t="s">
        <v>115</v>
      </c>
      <c r="D390" s="14" t="s">
        <v>121</v>
      </c>
      <c r="E390" s="15" t="s">
        <v>36</v>
      </c>
      <c r="F390" s="15" t="s">
        <v>50</v>
      </c>
      <c r="G390" s="57">
        <f>G391+G396+G394</f>
        <v>13231.800000000001</v>
      </c>
      <c r="H390" s="116"/>
      <c r="I390" s="117"/>
      <c r="J390" s="116"/>
      <c r="K390" s="80"/>
      <c r="L390" s="79"/>
      <c r="M390" s="79"/>
      <c r="AG390" s="79"/>
      <c r="AH390" s="79"/>
      <c r="DT390" s="99">
        <f t="shared" si="5"/>
        <v>0</v>
      </c>
    </row>
    <row r="391" spans="1:124" x14ac:dyDescent="0.3">
      <c r="A391" s="143" t="s">
        <v>104</v>
      </c>
      <c r="B391" s="13">
        <v>912</v>
      </c>
      <c r="C391" s="14" t="s">
        <v>115</v>
      </c>
      <c r="D391" s="14" t="s">
        <v>121</v>
      </c>
      <c r="E391" s="14" t="s">
        <v>37</v>
      </c>
      <c r="F391" s="15" t="s">
        <v>50</v>
      </c>
      <c r="G391" s="57">
        <f>G392+G393</f>
        <v>11252.800000000001</v>
      </c>
      <c r="H391" s="116"/>
      <c r="I391" s="117"/>
      <c r="J391" s="116"/>
      <c r="K391" s="80"/>
      <c r="L391" s="79"/>
      <c r="M391" s="79"/>
      <c r="AG391" s="79"/>
      <c r="AH391" s="79"/>
      <c r="DT391" s="99">
        <f t="shared" si="5"/>
        <v>0</v>
      </c>
    </row>
    <row r="392" spans="1:124" ht="93.75" x14ac:dyDescent="0.3">
      <c r="A392" s="143" t="s">
        <v>56</v>
      </c>
      <c r="B392" s="13">
        <v>912</v>
      </c>
      <c r="C392" s="14" t="s">
        <v>115</v>
      </c>
      <c r="D392" s="14" t="s">
        <v>121</v>
      </c>
      <c r="E392" s="15" t="s">
        <v>37</v>
      </c>
      <c r="F392" s="15" t="s">
        <v>57</v>
      </c>
      <c r="G392" s="57">
        <f>DT392</f>
        <v>10702.2</v>
      </c>
      <c r="H392" s="125">
        <v>8312</v>
      </c>
      <c r="I392" s="126"/>
      <c r="J392" s="125"/>
      <c r="K392" s="80"/>
      <c r="L392" s="79"/>
      <c r="M392" s="79"/>
      <c r="T392">
        <f>1.3+0.7</f>
        <v>2</v>
      </c>
      <c r="AG392" s="79"/>
      <c r="AH392" s="79"/>
      <c r="AK392" s="79">
        <v>7316.5</v>
      </c>
      <c r="BM392" s="100">
        <v>9758.7999999999993</v>
      </c>
      <c r="BU392" s="151">
        <v>-159</v>
      </c>
      <c r="CD392" s="226">
        <v>10</v>
      </c>
      <c r="CS392" s="264">
        <f>9917-280.5</f>
        <v>9636.5</v>
      </c>
      <c r="CX392" s="270">
        <v>15</v>
      </c>
      <c r="DO392" s="274">
        <f>12681.2-1656.4-322.6</f>
        <v>10702.2</v>
      </c>
      <c r="DT392" s="99">
        <f t="shared" si="5"/>
        <v>10702.2</v>
      </c>
    </row>
    <row r="393" spans="1:124" ht="37.5" x14ac:dyDescent="0.3">
      <c r="A393" s="143" t="s">
        <v>425</v>
      </c>
      <c r="B393" s="13">
        <v>912</v>
      </c>
      <c r="C393" s="14" t="s">
        <v>115</v>
      </c>
      <c r="D393" s="14" t="s">
        <v>121</v>
      </c>
      <c r="E393" s="15" t="s">
        <v>37</v>
      </c>
      <c r="F393" s="15" t="s">
        <v>59</v>
      </c>
      <c r="G393" s="57">
        <f>DT393</f>
        <v>550.59999999999991</v>
      </c>
      <c r="H393" s="125">
        <f>662.9-40</f>
        <v>622.9</v>
      </c>
      <c r="I393" s="126"/>
      <c r="J393" s="125"/>
      <c r="K393" s="80"/>
      <c r="L393" s="79"/>
      <c r="M393" s="79"/>
      <c r="T393">
        <v>-1.3</v>
      </c>
      <c r="AG393" s="79"/>
      <c r="AH393" s="79"/>
      <c r="AI393" s="79">
        <v>210</v>
      </c>
      <c r="AJ393" s="79"/>
      <c r="AK393" s="79">
        <v>441.1</v>
      </c>
      <c r="AX393" s="101">
        <v>-153.69999999999999</v>
      </c>
      <c r="BE393" s="226">
        <v>-80</v>
      </c>
      <c r="BM393" s="100">
        <f>349.1+28.6</f>
        <v>377.70000000000005</v>
      </c>
      <c r="CD393" s="226">
        <v>-10</v>
      </c>
      <c r="CP393" s="259">
        <v>-41</v>
      </c>
      <c r="CS393" s="264">
        <f>27.6+473</f>
        <v>500.6</v>
      </c>
      <c r="CX393" s="270">
        <v>-15</v>
      </c>
      <c r="DQ393" s="99">
        <v>30.3</v>
      </c>
      <c r="DR393" s="99">
        <v>520.29999999999995</v>
      </c>
      <c r="DT393" s="99">
        <f t="shared" si="5"/>
        <v>550.59999999999991</v>
      </c>
    </row>
    <row r="394" spans="1:124" ht="37.5" x14ac:dyDescent="0.3">
      <c r="A394" s="162" t="s">
        <v>374</v>
      </c>
      <c r="B394" s="13">
        <v>912</v>
      </c>
      <c r="C394" s="14" t="s">
        <v>115</v>
      </c>
      <c r="D394" s="14" t="s">
        <v>121</v>
      </c>
      <c r="E394" s="15" t="s">
        <v>510</v>
      </c>
      <c r="F394" s="15" t="s">
        <v>50</v>
      </c>
      <c r="G394" s="57">
        <f>G395</f>
        <v>1656.4</v>
      </c>
      <c r="H394" s="116"/>
      <c r="I394" s="117"/>
      <c r="J394" s="116"/>
      <c r="K394" s="80"/>
      <c r="L394" s="79"/>
      <c r="M394" s="79"/>
      <c r="AG394" s="79"/>
      <c r="AH394" s="79"/>
      <c r="DT394" s="99">
        <f t="shared" ref="DT394:DT457" si="6">DN394+DO394+DP394+DQ394+DR394+DS394</f>
        <v>0</v>
      </c>
    </row>
    <row r="395" spans="1:124" ht="93.75" x14ac:dyDescent="0.3">
      <c r="A395" s="143" t="s">
        <v>56</v>
      </c>
      <c r="B395" s="13">
        <v>912</v>
      </c>
      <c r="C395" s="14" t="s">
        <v>115</v>
      </c>
      <c r="D395" s="14" t="s">
        <v>121</v>
      </c>
      <c r="E395" s="15" t="s">
        <v>510</v>
      </c>
      <c r="F395" s="15" t="s">
        <v>57</v>
      </c>
      <c r="G395" s="57">
        <f>DT395</f>
        <v>1656.4</v>
      </c>
      <c r="H395" s="116"/>
      <c r="I395" s="117"/>
      <c r="J395" s="116"/>
      <c r="K395" s="80"/>
      <c r="L395" s="79"/>
      <c r="M395" s="79"/>
      <c r="AG395" s="79">
        <v>499.1</v>
      </c>
      <c r="AH395" s="79"/>
      <c r="AK395" s="79">
        <v>0</v>
      </c>
      <c r="BK395" s="226">
        <v>218</v>
      </c>
      <c r="DI395" s="270">
        <v>1718.3</v>
      </c>
      <c r="DO395" s="274">
        <v>1656.4</v>
      </c>
      <c r="DT395" s="99">
        <f t="shared" si="6"/>
        <v>1656.4</v>
      </c>
    </row>
    <row r="396" spans="1:124" ht="37.5" x14ac:dyDescent="0.3">
      <c r="A396" s="143" t="s">
        <v>180</v>
      </c>
      <c r="B396" s="13">
        <v>912</v>
      </c>
      <c r="C396" s="14" t="s">
        <v>115</v>
      </c>
      <c r="D396" s="14" t="s">
        <v>121</v>
      </c>
      <c r="E396" s="14" t="s">
        <v>181</v>
      </c>
      <c r="F396" s="14" t="s">
        <v>50</v>
      </c>
      <c r="G396" s="57">
        <f>G397</f>
        <v>322.60000000000002</v>
      </c>
      <c r="H396" s="116"/>
      <c r="I396" s="117"/>
      <c r="J396" s="116"/>
      <c r="K396" s="80"/>
      <c r="L396" s="79"/>
      <c r="M396" s="79"/>
      <c r="AG396" s="79"/>
      <c r="AH396" s="79"/>
      <c r="DT396" s="99">
        <f t="shared" si="6"/>
        <v>0</v>
      </c>
    </row>
    <row r="397" spans="1:124" ht="93.75" x14ac:dyDescent="0.3">
      <c r="A397" s="143" t="s">
        <v>56</v>
      </c>
      <c r="B397" s="13">
        <v>912</v>
      </c>
      <c r="C397" s="14" t="s">
        <v>115</v>
      </c>
      <c r="D397" s="14" t="s">
        <v>121</v>
      </c>
      <c r="E397" s="14" t="s">
        <v>181</v>
      </c>
      <c r="F397" s="14" t="s">
        <v>57</v>
      </c>
      <c r="G397" s="57">
        <f>DO397</f>
        <v>322.60000000000002</v>
      </c>
      <c r="H397" s="116">
        <v>88.4</v>
      </c>
      <c r="I397" s="117"/>
      <c r="J397" s="116"/>
      <c r="K397" s="80"/>
      <c r="L397" s="79"/>
      <c r="M397" s="79"/>
      <c r="AG397" s="79"/>
      <c r="AH397" s="79"/>
      <c r="AK397" s="79">
        <v>70.2</v>
      </c>
      <c r="AX397" s="101">
        <v>133.9</v>
      </c>
      <c r="BM397" s="100">
        <v>106.1</v>
      </c>
      <c r="BU397" s="151">
        <v>159</v>
      </c>
      <c r="CP397" s="259">
        <v>41</v>
      </c>
      <c r="CS397" s="264">
        <v>280.5</v>
      </c>
      <c r="DO397" s="274">
        <v>322.60000000000002</v>
      </c>
      <c r="DT397" s="99">
        <f t="shared" si="6"/>
        <v>322.60000000000002</v>
      </c>
    </row>
    <row r="398" spans="1:124" ht="37.5" hidden="1" x14ac:dyDescent="0.3">
      <c r="A398" s="162" t="s">
        <v>374</v>
      </c>
      <c r="B398" s="13">
        <v>912</v>
      </c>
      <c r="C398" s="14" t="s">
        <v>115</v>
      </c>
      <c r="D398" s="14" t="s">
        <v>121</v>
      </c>
      <c r="E398" s="15" t="s">
        <v>664</v>
      </c>
      <c r="F398" s="15" t="s">
        <v>50</v>
      </c>
      <c r="G398" s="57">
        <f>G399</f>
        <v>0</v>
      </c>
      <c r="H398" s="116"/>
      <c r="I398" s="117"/>
      <c r="J398" s="116"/>
      <c r="K398" s="80"/>
      <c r="L398" s="79"/>
      <c r="M398" s="79"/>
      <c r="AG398" s="79"/>
      <c r="AH398" s="79"/>
      <c r="DT398" s="99">
        <f t="shared" si="6"/>
        <v>0</v>
      </c>
    </row>
    <row r="399" spans="1:124" ht="93.75" hidden="1" x14ac:dyDescent="0.3">
      <c r="A399" s="143" t="s">
        <v>56</v>
      </c>
      <c r="B399" s="13">
        <v>912</v>
      </c>
      <c r="C399" s="14" t="s">
        <v>115</v>
      </c>
      <c r="D399" s="14" t="s">
        <v>121</v>
      </c>
      <c r="E399" s="15" t="s">
        <v>664</v>
      </c>
      <c r="F399" s="15" t="s">
        <v>57</v>
      </c>
      <c r="G399" s="57">
        <v>0</v>
      </c>
      <c r="H399" s="116"/>
      <c r="I399" s="117"/>
      <c r="J399" s="116"/>
      <c r="K399" s="80"/>
      <c r="L399" s="79"/>
      <c r="M399" s="79"/>
      <c r="AG399" s="79">
        <v>7.8</v>
      </c>
      <c r="AH399" s="79"/>
      <c r="AK399" s="79">
        <v>0</v>
      </c>
      <c r="BK399" s="226">
        <v>8</v>
      </c>
      <c r="DI399" s="270">
        <v>60</v>
      </c>
      <c r="DT399" s="99">
        <f t="shared" si="6"/>
        <v>0</v>
      </c>
    </row>
    <row r="400" spans="1:124" ht="56.25" hidden="1" x14ac:dyDescent="0.3">
      <c r="A400" s="143" t="s">
        <v>928</v>
      </c>
      <c r="B400" s="13">
        <v>912</v>
      </c>
      <c r="C400" s="14" t="s">
        <v>115</v>
      </c>
      <c r="D400" s="14" t="s">
        <v>121</v>
      </c>
      <c r="E400" s="14" t="s">
        <v>929</v>
      </c>
      <c r="F400" s="20" t="s">
        <v>50</v>
      </c>
      <c r="G400" s="57">
        <f>G401</f>
        <v>0</v>
      </c>
      <c r="H400" s="116"/>
      <c r="I400" s="117"/>
      <c r="J400" s="116"/>
      <c r="K400" s="80"/>
      <c r="L400" s="79"/>
      <c r="M400" s="79"/>
      <c r="AG400" s="79"/>
      <c r="AH400" s="79"/>
      <c r="DT400" s="99">
        <f t="shared" si="6"/>
        <v>0</v>
      </c>
    </row>
    <row r="401" spans="1:124" ht="93.75" hidden="1" x14ac:dyDescent="0.3">
      <c r="A401" s="143" t="s">
        <v>56</v>
      </c>
      <c r="B401" s="13">
        <v>912</v>
      </c>
      <c r="C401" s="14" t="s">
        <v>115</v>
      </c>
      <c r="D401" s="14" t="s">
        <v>121</v>
      </c>
      <c r="E401" s="14" t="s">
        <v>929</v>
      </c>
      <c r="F401" s="14" t="s">
        <v>57</v>
      </c>
      <c r="G401" s="57">
        <v>0</v>
      </c>
      <c r="H401" s="116"/>
      <c r="I401" s="117"/>
      <c r="J401" s="116"/>
      <c r="K401" s="80"/>
      <c r="L401" s="79"/>
      <c r="M401" s="79"/>
      <c r="AG401" s="79"/>
      <c r="AH401" s="79"/>
      <c r="DK401" s="270">
        <v>172.51499999999999</v>
      </c>
      <c r="DT401" s="99">
        <f t="shared" si="6"/>
        <v>0</v>
      </c>
    </row>
    <row r="402" spans="1:124" x14ac:dyDescent="0.3">
      <c r="A402" s="155" t="s">
        <v>182</v>
      </c>
      <c r="B402" s="12">
        <v>912</v>
      </c>
      <c r="C402" s="9" t="s">
        <v>115</v>
      </c>
      <c r="D402" s="19" t="s">
        <v>183</v>
      </c>
      <c r="E402" s="12" t="s">
        <v>49</v>
      </c>
      <c r="F402" s="9" t="s">
        <v>50</v>
      </c>
      <c r="G402" s="68">
        <f>G403</f>
        <v>100</v>
      </c>
      <c r="H402" s="116"/>
      <c r="I402" s="117"/>
      <c r="J402" s="116"/>
      <c r="K402" s="80"/>
      <c r="L402" s="79"/>
      <c r="M402" s="79"/>
      <c r="AG402" s="79"/>
      <c r="AH402" s="79"/>
      <c r="DT402" s="99">
        <f t="shared" si="6"/>
        <v>0</v>
      </c>
    </row>
    <row r="403" spans="1:124" ht="56.25" x14ac:dyDescent="0.3">
      <c r="A403" s="208" t="s">
        <v>16</v>
      </c>
      <c r="B403" s="13">
        <v>912</v>
      </c>
      <c r="C403" s="14" t="s">
        <v>115</v>
      </c>
      <c r="D403" s="6" t="s">
        <v>183</v>
      </c>
      <c r="E403" s="15" t="s">
        <v>32</v>
      </c>
      <c r="F403" s="15" t="s">
        <v>50</v>
      </c>
      <c r="G403" s="57">
        <f>G404</f>
        <v>100</v>
      </c>
      <c r="H403" s="116"/>
      <c r="I403" s="117"/>
      <c r="J403" s="116"/>
      <c r="K403" s="80"/>
      <c r="L403" s="79"/>
      <c r="M403" s="79"/>
      <c r="AG403" s="79"/>
      <c r="AH403" s="79"/>
      <c r="DT403" s="99">
        <f t="shared" si="6"/>
        <v>0</v>
      </c>
    </row>
    <row r="404" spans="1:124" x14ac:dyDescent="0.3">
      <c r="A404" s="143" t="s">
        <v>409</v>
      </c>
      <c r="B404" s="13">
        <v>912</v>
      </c>
      <c r="C404" s="14" t="s">
        <v>115</v>
      </c>
      <c r="D404" s="6" t="s">
        <v>183</v>
      </c>
      <c r="E404" s="15" t="s">
        <v>44</v>
      </c>
      <c r="F404" s="15" t="s">
        <v>50</v>
      </c>
      <c r="G404" s="57">
        <f>G405</f>
        <v>100</v>
      </c>
      <c r="H404" s="116"/>
      <c r="I404" s="117"/>
      <c r="J404" s="116"/>
      <c r="K404" s="80"/>
      <c r="L404" s="79"/>
      <c r="M404" s="79"/>
      <c r="AG404" s="79"/>
      <c r="AH404" s="79"/>
      <c r="DT404" s="99">
        <f t="shared" si="6"/>
        <v>0</v>
      </c>
    </row>
    <row r="405" spans="1:124" x14ac:dyDescent="0.3">
      <c r="A405" s="143" t="s">
        <v>184</v>
      </c>
      <c r="B405" s="13">
        <v>912</v>
      </c>
      <c r="C405" s="14" t="s">
        <v>115</v>
      </c>
      <c r="D405" s="6" t="s">
        <v>183</v>
      </c>
      <c r="E405" s="15" t="s">
        <v>185</v>
      </c>
      <c r="F405" s="15" t="s">
        <v>50</v>
      </c>
      <c r="G405" s="57">
        <f>G406</f>
        <v>100</v>
      </c>
      <c r="H405" s="116"/>
      <c r="I405" s="117"/>
      <c r="J405" s="116"/>
      <c r="K405" s="80"/>
      <c r="L405" s="79"/>
      <c r="M405" s="79"/>
      <c r="AG405" s="79"/>
      <c r="AH405" s="79"/>
      <c r="DT405" s="99">
        <f t="shared" si="6"/>
        <v>0</v>
      </c>
    </row>
    <row r="406" spans="1:124" x14ac:dyDescent="0.3">
      <c r="A406" s="143" t="s">
        <v>60</v>
      </c>
      <c r="B406" s="13">
        <v>912</v>
      </c>
      <c r="C406" s="14" t="s">
        <v>115</v>
      </c>
      <c r="D406" s="6" t="s">
        <v>183</v>
      </c>
      <c r="E406" s="15" t="s">
        <v>185</v>
      </c>
      <c r="F406" s="15" t="s">
        <v>61</v>
      </c>
      <c r="G406" s="72">
        <f>DT406</f>
        <v>100</v>
      </c>
      <c r="H406" s="116">
        <v>100</v>
      </c>
      <c r="I406" s="117"/>
      <c r="J406" s="116"/>
      <c r="K406" s="80"/>
      <c r="L406" s="79"/>
      <c r="M406" s="79"/>
      <c r="AG406" s="79"/>
      <c r="AH406" s="79"/>
      <c r="AK406" s="79">
        <v>100</v>
      </c>
      <c r="BN406" s="237">
        <v>100</v>
      </c>
      <c r="CR406" s="99">
        <v>100</v>
      </c>
      <c r="DS406" s="99">
        <v>100</v>
      </c>
      <c r="DT406" s="99">
        <f t="shared" si="6"/>
        <v>100</v>
      </c>
    </row>
    <row r="407" spans="1:124" hidden="1" x14ac:dyDescent="0.3">
      <c r="A407" s="155" t="s">
        <v>122</v>
      </c>
      <c r="B407" s="41" t="s">
        <v>380</v>
      </c>
      <c r="C407" s="9" t="s">
        <v>123</v>
      </c>
      <c r="D407" s="9" t="s">
        <v>112</v>
      </c>
      <c r="E407" s="12" t="s">
        <v>49</v>
      </c>
      <c r="F407" s="9" t="s">
        <v>50</v>
      </c>
      <c r="G407" s="57">
        <f>G408</f>
        <v>0</v>
      </c>
      <c r="H407" s="116"/>
      <c r="I407" s="117"/>
      <c r="J407" s="116"/>
      <c r="K407" s="80"/>
      <c r="L407" s="79"/>
      <c r="M407" s="79"/>
      <c r="AG407" s="79"/>
      <c r="AH407" s="79"/>
      <c r="DT407" s="99">
        <f t="shared" si="6"/>
        <v>0</v>
      </c>
    </row>
    <row r="408" spans="1:124" ht="37.5" hidden="1" x14ac:dyDescent="0.3">
      <c r="A408" s="211" t="s">
        <v>344</v>
      </c>
      <c r="B408" s="41" t="s">
        <v>380</v>
      </c>
      <c r="C408" s="41" t="s">
        <v>123</v>
      </c>
      <c r="D408" s="95" t="s">
        <v>209</v>
      </c>
      <c r="E408" s="74" t="s">
        <v>49</v>
      </c>
      <c r="F408" s="41" t="s">
        <v>50</v>
      </c>
      <c r="G408" s="57">
        <f>G409</f>
        <v>0</v>
      </c>
      <c r="H408" s="116"/>
      <c r="I408" s="117"/>
      <c r="J408" s="116"/>
      <c r="K408" s="80"/>
      <c r="L408" s="79"/>
      <c r="M408" s="79"/>
      <c r="AG408" s="79"/>
      <c r="AH408" s="79"/>
      <c r="DT408" s="99">
        <f t="shared" si="6"/>
        <v>0</v>
      </c>
    </row>
    <row r="409" spans="1:124" ht="56.25" hidden="1" x14ac:dyDescent="0.3">
      <c r="A409" s="208" t="s">
        <v>16</v>
      </c>
      <c r="B409" s="13">
        <v>912</v>
      </c>
      <c r="C409" s="44" t="s">
        <v>123</v>
      </c>
      <c r="D409" s="92" t="s">
        <v>209</v>
      </c>
      <c r="E409" s="15" t="s">
        <v>32</v>
      </c>
      <c r="F409" s="15" t="s">
        <v>50</v>
      </c>
      <c r="G409" s="57">
        <f>G413+G410</f>
        <v>0</v>
      </c>
      <c r="H409" s="116"/>
      <c r="I409" s="117"/>
      <c r="J409" s="116"/>
      <c r="K409" s="80"/>
      <c r="L409" s="79"/>
      <c r="M409" s="79"/>
      <c r="AG409" s="79"/>
      <c r="AH409" s="79"/>
      <c r="DT409" s="99">
        <f t="shared" si="6"/>
        <v>0</v>
      </c>
    </row>
    <row r="410" spans="1:124" ht="43.5" hidden="1" customHeight="1" x14ac:dyDescent="0.3">
      <c r="A410" s="162" t="s">
        <v>17</v>
      </c>
      <c r="B410" s="13">
        <v>912</v>
      </c>
      <c r="C410" s="44" t="s">
        <v>123</v>
      </c>
      <c r="D410" s="112" t="s">
        <v>209</v>
      </c>
      <c r="E410" s="15" t="s">
        <v>33</v>
      </c>
      <c r="F410" s="15" t="s">
        <v>50</v>
      </c>
      <c r="G410" s="57">
        <f>G411</f>
        <v>0</v>
      </c>
      <c r="H410" s="116"/>
      <c r="I410" s="117"/>
      <c r="J410" s="116"/>
      <c r="K410" s="80"/>
      <c r="L410" s="79"/>
      <c r="M410" s="79"/>
      <c r="AG410" s="79"/>
      <c r="AH410" s="79"/>
      <c r="DT410" s="99">
        <f t="shared" si="6"/>
        <v>0</v>
      </c>
    </row>
    <row r="411" spans="1:124" ht="37.5" hidden="1" x14ac:dyDescent="0.3">
      <c r="A411" s="162" t="s">
        <v>609</v>
      </c>
      <c r="B411" s="13">
        <v>912</v>
      </c>
      <c r="C411" s="44" t="s">
        <v>123</v>
      </c>
      <c r="D411" s="112" t="s">
        <v>209</v>
      </c>
      <c r="E411" s="15" t="s">
        <v>652</v>
      </c>
      <c r="F411" s="15" t="s">
        <v>50</v>
      </c>
      <c r="G411" s="57">
        <f>G412</f>
        <v>0</v>
      </c>
      <c r="H411" s="116"/>
      <c r="I411" s="117"/>
      <c r="J411" s="116"/>
      <c r="K411" s="80"/>
      <c r="L411" s="79"/>
      <c r="M411" s="79"/>
      <c r="AG411" s="79"/>
      <c r="AH411" s="79"/>
      <c r="DT411" s="99">
        <f t="shared" si="6"/>
        <v>0</v>
      </c>
    </row>
    <row r="412" spans="1:124" ht="37.5" hidden="1" x14ac:dyDescent="0.3">
      <c r="A412" s="143" t="s">
        <v>425</v>
      </c>
      <c r="B412" s="13">
        <v>912</v>
      </c>
      <c r="C412" s="44" t="s">
        <v>123</v>
      </c>
      <c r="D412" s="112" t="s">
        <v>209</v>
      </c>
      <c r="E412" s="15" t="s">
        <v>652</v>
      </c>
      <c r="F412" s="15" t="s">
        <v>59</v>
      </c>
      <c r="G412" s="57">
        <v>0</v>
      </c>
      <c r="H412" s="116"/>
      <c r="I412" s="117"/>
      <c r="J412" s="116"/>
      <c r="K412" s="80"/>
      <c r="L412" s="79"/>
      <c r="M412" s="79"/>
      <c r="AG412" s="79"/>
      <c r="AH412" s="79"/>
      <c r="AK412" s="79">
        <v>0</v>
      </c>
      <c r="DT412" s="99">
        <f t="shared" si="6"/>
        <v>0</v>
      </c>
    </row>
    <row r="413" spans="1:124" ht="44.25" hidden="1" customHeight="1" x14ac:dyDescent="0.3">
      <c r="A413" s="162" t="s">
        <v>18</v>
      </c>
      <c r="B413" s="13">
        <v>912</v>
      </c>
      <c r="C413" s="44" t="s">
        <v>123</v>
      </c>
      <c r="D413" s="92" t="s">
        <v>209</v>
      </c>
      <c r="E413" s="15" t="s">
        <v>34</v>
      </c>
      <c r="F413" s="15" t="s">
        <v>50</v>
      </c>
      <c r="G413" s="72">
        <f>G416+G419+G414</f>
        <v>0</v>
      </c>
      <c r="H413" s="116"/>
      <c r="I413" s="117"/>
      <c r="J413" s="116"/>
      <c r="K413" s="80"/>
      <c r="L413" s="79"/>
      <c r="M413" s="79"/>
      <c r="AG413" s="79"/>
      <c r="AH413" s="79"/>
      <c r="DT413" s="99">
        <f t="shared" si="6"/>
        <v>0</v>
      </c>
    </row>
    <row r="414" spans="1:124" ht="44.25" hidden="1" customHeight="1" x14ac:dyDescent="0.3">
      <c r="A414" s="162" t="s">
        <v>609</v>
      </c>
      <c r="B414" s="13">
        <v>912</v>
      </c>
      <c r="C414" s="44" t="s">
        <v>123</v>
      </c>
      <c r="D414" s="107" t="s">
        <v>209</v>
      </c>
      <c r="E414" s="15" t="s">
        <v>434</v>
      </c>
      <c r="F414" s="15" t="s">
        <v>50</v>
      </c>
      <c r="G414" s="72">
        <f>G415</f>
        <v>0</v>
      </c>
      <c r="H414" s="116"/>
      <c r="I414" s="117"/>
      <c r="J414" s="116"/>
      <c r="K414" s="80"/>
      <c r="L414" s="79"/>
      <c r="M414" s="79"/>
      <c r="AG414" s="79"/>
      <c r="AH414" s="79"/>
      <c r="DT414" s="99">
        <f t="shared" si="6"/>
        <v>0</v>
      </c>
    </row>
    <row r="415" spans="1:124" ht="42" hidden="1" customHeight="1" x14ac:dyDescent="0.3">
      <c r="A415" s="143" t="s">
        <v>425</v>
      </c>
      <c r="B415" s="13">
        <v>912</v>
      </c>
      <c r="C415" s="44" t="s">
        <v>123</v>
      </c>
      <c r="D415" s="107" t="s">
        <v>209</v>
      </c>
      <c r="E415" s="15" t="s">
        <v>434</v>
      </c>
      <c r="F415" s="15" t="s">
        <v>59</v>
      </c>
      <c r="G415" s="72">
        <f>H415+AX415+BE415</f>
        <v>0</v>
      </c>
      <c r="H415" s="116">
        <v>40</v>
      </c>
      <c r="I415" s="117"/>
      <c r="J415" s="116"/>
      <c r="K415" s="80"/>
      <c r="L415" s="79"/>
      <c r="M415" s="79"/>
      <c r="U415">
        <v>50</v>
      </c>
      <c r="AG415" s="79"/>
      <c r="AH415" s="79"/>
      <c r="AK415" s="79">
        <v>0</v>
      </c>
      <c r="AX415" s="101">
        <v>-20</v>
      </c>
      <c r="BE415" s="226">
        <v>-20</v>
      </c>
      <c r="DT415" s="99">
        <f t="shared" si="6"/>
        <v>0</v>
      </c>
    </row>
    <row r="416" spans="1:124" ht="75" hidden="1" x14ac:dyDescent="0.3">
      <c r="A416" s="143" t="s">
        <v>249</v>
      </c>
      <c r="B416" s="44" t="s">
        <v>380</v>
      </c>
      <c r="C416" s="44" t="s">
        <v>123</v>
      </c>
      <c r="D416" s="92" t="s">
        <v>209</v>
      </c>
      <c r="E416" s="92" t="s">
        <v>381</v>
      </c>
      <c r="F416" s="44" t="s">
        <v>50</v>
      </c>
      <c r="G416" s="57">
        <f>G417</f>
        <v>0</v>
      </c>
      <c r="H416" s="116"/>
      <c r="I416" s="117"/>
      <c r="J416" s="116"/>
      <c r="K416" s="80"/>
      <c r="L416" s="79"/>
      <c r="M416" s="79"/>
      <c r="AG416" s="79"/>
      <c r="AH416" s="79"/>
      <c r="DT416" s="99">
        <f t="shared" si="6"/>
        <v>0</v>
      </c>
    </row>
    <row r="417" spans="1:124" ht="75" hidden="1" x14ac:dyDescent="0.3">
      <c r="A417" s="143" t="s">
        <v>441</v>
      </c>
      <c r="B417" s="44" t="s">
        <v>380</v>
      </c>
      <c r="C417" s="44" t="s">
        <v>123</v>
      </c>
      <c r="D417" s="92" t="s">
        <v>209</v>
      </c>
      <c r="E417" s="92" t="s">
        <v>382</v>
      </c>
      <c r="F417" s="44" t="s">
        <v>50</v>
      </c>
      <c r="G417" s="57">
        <f>G418</f>
        <v>0</v>
      </c>
      <c r="H417" s="116"/>
      <c r="I417" s="117"/>
      <c r="J417" s="116"/>
      <c r="K417" s="80"/>
      <c r="L417" s="79"/>
      <c r="M417" s="79"/>
      <c r="AG417" s="79"/>
      <c r="AH417" s="79"/>
      <c r="DT417" s="99">
        <f t="shared" si="6"/>
        <v>0</v>
      </c>
    </row>
    <row r="418" spans="1:124" ht="37.5" hidden="1" x14ac:dyDescent="0.3">
      <c r="A418" s="143" t="s">
        <v>425</v>
      </c>
      <c r="B418" s="44" t="s">
        <v>380</v>
      </c>
      <c r="C418" s="44" t="s">
        <v>123</v>
      </c>
      <c r="D418" s="92" t="s">
        <v>209</v>
      </c>
      <c r="E418" s="92" t="s">
        <v>382</v>
      </c>
      <c r="F418" s="15" t="s">
        <v>59</v>
      </c>
      <c r="G418" s="57">
        <v>0</v>
      </c>
      <c r="H418" s="116"/>
      <c r="I418" s="117"/>
      <c r="J418" s="116"/>
      <c r="K418" s="80"/>
      <c r="L418" s="79"/>
      <c r="M418" s="79"/>
      <c r="T418">
        <v>0.03</v>
      </c>
      <c r="AG418" s="79"/>
      <c r="AH418" s="79"/>
      <c r="AK418" s="79">
        <v>0</v>
      </c>
      <c r="DT418" s="99">
        <f t="shared" si="6"/>
        <v>0</v>
      </c>
    </row>
    <row r="419" spans="1:124" ht="93.75" hidden="1" x14ac:dyDescent="0.3">
      <c r="A419" s="143" t="s">
        <v>440</v>
      </c>
      <c r="B419" s="44" t="s">
        <v>380</v>
      </c>
      <c r="C419" s="44" t="s">
        <v>123</v>
      </c>
      <c r="D419" s="92" t="s">
        <v>209</v>
      </c>
      <c r="E419" s="92" t="s">
        <v>383</v>
      </c>
      <c r="F419" s="15" t="s">
        <v>50</v>
      </c>
      <c r="G419" s="57">
        <f>G420</f>
        <v>0</v>
      </c>
      <c r="H419" s="116"/>
      <c r="I419" s="117"/>
      <c r="J419" s="116"/>
      <c r="K419" s="80"/>
      <c r="L419" s="79"/>
      <c r="M419" s="79"/>
      <c r="AG419" s="79"/>
      <c r="AH419" s="79"/>
      <c r="DT419" s="99">
        <f t="shared" si="6"/>
        <v>0</v>
      </c>
    </row>
    <row r="420" spans="1:124" ht="37.5" hidden="1" x14ac:dyDescent="0.3">
      <c r="A420" s="143" t="s">
        <v>425</v>
      </c>
      <c r="B420" s="44" t="s">
        <v>380</v>
      </c>
      <c r="C420" s="44" t="s">
        <v>123</v>
      </c>
      <c r="D420" s="92" t="s">
        <v>209</v>
      </c>
      <c r="E420" s="92" t="s">
        <v>383</v>
      </c>
      <c r="F420" s="15" t="s">
        <v>59</v>
      </c>
      <c r="G420" s="57">
        <v>0</v>
      </c>
      <c r="H420" s="116"/>
      <c r="I420" s="117"/>
      <c r="J420" s="116"/>
      <c r="K420" s="80"/>
      <c r="L420" s="79"/>
      <c r="M420" s="79"/>
      <c r="T420">
        <v>-0.03</v>
      </c>
      <c r="AG420" s="79"/>
      <c r="AH420" s="79"/>
      <c r="AK420" s="79">
        <v>0</v>
      </c>
      <c r="DT420" s="99">
        <f t="shared" si="6"/>
        <v>0</v>
      </c>
    </row>
    <row r="421" spans="1:124" hidden="1" outlineLevel="1" x14ac:dyDescent="0.3">
      <c r="A421" s="155" t="s">
        <v>166</v>
      </c>
      <c r="B421" s="12">
        <v>912</v>
      </c>
      <c r="C421" s="19">
        <v>10</v>
      </c>
      <c r="D421" s="19" t="s">
        <v>112</v>
      </c>
      <c r="E421" s="12" t="s">
        <v>49</v>
      </c>
      <c r="F421" s="9" t="s">
        <v>50</v>
      </c>
      <c r="G421" s="68">
        <f t="shared" ref="G421:G425" si="7">G422</f>
        <v>0</v>
      </c>
      <c r="H421" s="116"/>
      <c r="I421" s="117"/>
      <c r="J421" s="116"/>
      <c r="K421" s="80"/>
      <c r="L421" s="79"/>
      <c r="M421" s="79"/>
      <c r="AG421" s="79"/>
      <c r="AH421" s="79"/>
      <c r="DT421" s="99">
        <f t="shared" si="6"/>
        <v>0</v>
      </c>
    </row>
    <row r="422" spans="1:124" hidden="1" outlineLevel="1" x14ac:dyDescent="0.3">
      <c r="A422" s="155" t="s">
        <v>171</v>
      </c>
      <c r="B422" s="12">
        <v>912</v>
      </c>
      <c r="C422" s="19">
        <v>10</v>
      </c>
      <c r="D422" s="19" t="s">
        <v>121</v>
      </c>
      <c r="E422" s="12" t="s">
        <v>49</v>
      </c>
      <c r="F422" s="9" t="s">
        <v>50</v>
      </c>
      <c r="G422" s="68">
        <f t="shared" si="7"/>
        <v>0</v>
      </c>
      <c r="H422" s="116"/>
      <c r="I422" s="117"/>
      <c r="J422" s="116"/>
      <c r="K422" s="80"/>
      <c r="L422" s="79"/>
      <c r="M422" s="79"/>
      <c r="AG422" s="79"/>
      <c r="AH422" s="79"/>
      <c r="DT422" s="99">
        <f t="shared" si="6"/>
        <v>0</v>
      </c>
    </row>
    <row r="423" spans="1:124" ht="56.25" hidden="1" outlineLevel="1" x14ac:dyDescent="0.3">
      <c r="A423" s="208" t="s">
        <v>16</v>
      </c>
      <c r="B423" s="13">
        <v>912</v>
      </c>
      <c r="C423" s="6">
        <v>10</v>
      </c>
      <c r="D423" s="6" t="s">
        <v>121</v>
      </c>
      <c r="E423" s="15" t="s">
        <v>32</v>
      </c>
      <c r="F423" s="15" t="s">
        <v>50</v>
      </c>
      <c r="G423" s="57">
        <f t="shared" si="7"/>
        <v>0</v>
      </c>
      <c r="H423" s="116"/>
      <c r="I423" s="117"/>
      <c r="J423" s="116"/>
      <c r="K423" s="80"/>
      <c r="L423" s="79"/>
      <c r="M423" s="79"/>
      <c r="AG423" s="79"/>
      <c r="AH423" s="79"/>
      <c r="DT423" s="99">
        <f t="shared" si="6"/>
        <v>0</v>
      </c>
    </row>
    <row r="424" spans="1:124" ht="39" hidden="1" customHeight="1" outlineLevel="1" x14ac:dyDescent="0.3">
      <c r="A424" s="162" t="s">
        <v>18</v>
      </c>
      <c r="B424" s="13">
        <v>912</v>
      </c>
      <c r="C424" s="6">
        <v>10</v>
      </c>
      <c r="D424" s="6" t="s">
        <v>121</v>
      </c>
      <c r="E424" s="15" t="s">
        <v>34</v>
      </c>
      <c r="F424" s="15" t="s">
        <v>50</v>
      </c>
      <c r="G424" s="57">
        <f t="shared" si="7"/>
        <v>0</v>
      </c>
      <c r="H424" s="116"/>
      <c r="I424" s="117"/>
      <c r="J424" s="116"/>
      <c r="K424" s="80"/>
      <c r="L424" s="79"/>
      <c r="M424" s="79"/>
      <c r="AG424" s="79"/>
      <c r="AH424" s="79"/>
      <c r="DT424" s="99">
        <f t="shared" si="6"/>
        <v>0</v>
      </c>
    </row>
    <row r="425" spans="1:124" ht="78" hidden="1" customHeight="1" outlineLevel="1" x14ac:dyDescent="0.3">
      <c r="A425" s="143" t="s">
        <v>103</v>
      </c>
      <c r="B425" s="13">
        <v>912</v>
      </c>
      <c r="C425" s="6">
        <v>10</v>
      </c>
      <c r="D425" s="6" t="s">
        <v>121</v>
      </c>
      <c r="E425" s="15" t="s">
        <v>36</v>
      </c>
      <c r="F425" s="15" t="s">
        <v>50</v>
      </c>
      <c r="G425" s="57">
        <f t="shared" si="7"/>
        <v>0</v>
      </c>
      <c r="H425" s="116"/>
      <c r="I425" s="117"/>
      <c r="J425" s="116"/>
      <c r="K425" s="80"/>
      <c r="L425" s="79"/>
      <c r="M425" s="79"/>
      <c r="AG425" s="79"/>
      <c r="AH425" s="79"/>
      <c r="DT425" s="99">
        <f t="shared" si="6"/>
        <v>0</v>
      </c>
    </row>
    <row r="426" spans="1:124" hidden="1" outlineLevel="1" x14ac:dyDescent="0.3">
      <c r="A426" s="143" t="s">
        <v>104</v>
      </c>
      <c r="B426" s="13">
        <v>912</v>
      </c>
      <c r="C426" s="6">
        <v>10</v>
      </c>
      <c r="D426" s="6" t="s">
        <v>121</v>
      </c>
      <c r="E426" s="14" t="s">
        <v>37</v>
      </c>
      <c r="F426" s="15" t="s">
        <v>50</v>
      </c>
      <c r="G426" s="57">
        <f>G427</f>
        <v>0</v>
      </c>
      <c r="H426" s="116"/>
      <c r="I426" s="117"/>
      <c r="J426" s="116"/>
      <c r="K426" s="80"/>
      <c r="L426" s="79"/>
      <c r="M426" s="79"/>
      <c r="AG426" s="79"/>
      <c r="AH426" s="79"/>
      <c r="DT426" s="99">
        <f t="shared" si="6"/>
        <v>0</v>
      </c>
    </row>
    <row r="427" spans="1:124" ht="93.75" hidden="1" outlineLevel="1" x14ac:dyDescent="0.3">
      <c r="A427" s="143" t="s">
        <v>56</v>
      </c>
      <c r="B427" s="13">
        <v>912</v>
      </c>
      <c r="C427" s="6">
        <v>10</v>
      </c>
      <c r="D427" s="6" t="s">
        <v>121</v>
      </c>
      <c r="E427" s="14" t="s">
        <v>37</v>
      </c>
      <c r="F427" s="15" t="s">
        <v>57</v>
      </c>
      <c r="G427" s="57">
        <f>0.7+T427</f>
        <v>0</v>
      </c>
      <c r="H427" s="116"/>
      <c r="I427" s="117"/>
      <c r="J427" s="116"/>
      <c r="K427" s="80"/>
      <c r="L427" s="79"/>
      <c r="M427" s="79"/>
      <c r="T427">
        <v>-0.7</v>
      </c>
      <c r="AG427" s="79"/>
      <c r="AH427" s="79"/>
      <c r="DT427" s="99">
        <f t="shared" si="6"/>
        <v>0</v>
      </c>
    </row>
    <row r="428" spans="1:124" ht="37.5" hidden="1" collapsed="1" x14ac:dyDescent="0.3">
      <c r="A428" s="155" t="s">
        <v>186</v>
      </c>
      <c r="B428" s="12">
        <v>912</v>
      </c>
      <c r="C428" s="9">
        <v>13</v>
      </c>
      <c r="D428" s="9" t="s">
        <v>112</v>
      </c>
      <c r="E428" s="9" t="s">
        <v>49</v>
      </c>
      <c r="F428" s="9" t="s">
        <v>50</v>
      </c>
      <c r="G428" s="68">
        <f>G429</f>
        <v>0</v>
      </c>
      <c r="H428" s="116"/>
      <c r="I428" s="117"/>
      <c r="J428" s="116"/>
      <c r="K428" s="80"/>
      <c r="L428" s="79"/>
      <c r="M428" s="79"/>
      <c r="AG428" s="79"/>
      <c r="AH428" s="79"/>
      <c r="DT428" s="99">
        <f t="shared" si="6"/>
        <v>0</v>
      </c>
    </row>
    <row r="429" spans="1:124" ht="37.5" hidden="1" x14ac:dyDescent="0.3">
      <c r="A429" s="155" t="s">
        <v>187</v>
      </c>
      <c r="B429" s="12">
        <v>912</v>
      </c>
      <c r="C429" s="22">
        <v>13</v>
      </c>
      <c r="D429" s="9" t="s">
        <v>115</v>
      </c>
      <c r="E429" s="22" t="s">
        <v>49</v>
      </c>
      <c r="F429" s="9" t="s">
        <v>50</v>
      </c>
      <c r="G429" s="68">
        <f>G430</f>
        <v>0</v>
      </c>
      <c r="H429" s="116"/>
      <c r="I429" s="117"/>
      <c r="J429" s="116"/>
      <c r="K429" s="80"/>
      <c r="L429" s="79"/>
      <c r="M429" s="79"/>
      <c r="AG429" s="79"/>
      <c r="AH429" s="79"/>
      <c r="DT429" s="99">
        <f t="shared" si="6"/>
        <v>0</v>
      </c>
    </row>
    <row r="430" spans="1:124" ht="56.25" hidden="1" x14ac:dyDescent="0.3">
      <c r="A430" s="208" t="s">
        <v>16</v>
      </c>
      <c r="B430" s="13">
        <v>912</v>
      </c>
      <c r="C430" s="23">
        <v>13</v>
      </c>
      <c r="D430" s="14" t="s">
        <v>115</v>
      </c>
      <c r="E430" s="15" t="s">
        <v>32</v>
      </c>
      <c r="F430" s="14" t="s">
        <v>50</v>
      </c>
      <c r="G430" s="57">
        <f>G431</f>
        <v>0</v>
      </c>
      <c r="H430" s="116"/>
      <c r="I430" s="117"/>
      <c r="J430" s="116"/>
      <c r="K430" s="80"/>
      <c r="L430" s="79"/>
      <c r="M430" s="79"/>
      <c r="AG430" s="79"/>
      <c r="AH430" s="79"/>
      <c r="DT430" s="99">
        <f t="shared" si="6"/>
        <v>0</v>
      </c>
    </row>
    <row r="431" spans="1:124" hidden="1" x14ac:dyDescent="0.3">
      <c r="A431" s="143" t="s">
        <v>409</v>
      </c>
      <c r="B431" s="13">
        <v>912</v>
      </c>
      <c r="C431" s="23">
        <v>13</v>
      </c>
      <c r="D431" s="14" t="s">
        <v>115</v>
      </c>
      <c r="E431" s="15" t="s">
        <v>44</v>
      </c>
      <c r="F431" s="14" t="s">
        <v>50</v>
      </c>
      <c r="G431" s="57">
        <f>G432</f>
        <v>0</v>
      </c>
      <c r="H431" s="116"/>
      <c r="I431" s="117"/>
      <c r="J431" s="116"/>
      <c r="K431" s="80"/>
      <c r="L431" s="79"/>
      <c r="M431" s="79"/>
      <c r="AG431" s="79"/>
      <c r="AH431" s="79"/>
      <c r="DT431" s="99">
        <f t="shared" si="6"/>
        <v>0</v>
      </c>
    </row>
    <row r="432" spans="1:124" hidden="1" x14ac:dyDescent="0.3">
      <c r="A432" s="143" t="s">
        <v>188</v>
      </c>
      <c r="B432" s="13">
        <v>912</v>
      </c>
      <c r="C432" s="14" t="s">
        <v>189</v>
      </c>
      <c r="D432" s="6" t="s">
        <v>115</v>
      </c>
      <c r="E432" s="14" t="s">
        <v>192</v>
      </c>
      <c r="F432" s="14" t="s">
        <v>50</v>
      </c>
      <c r="G432" s="57">
        <f>G433</f>
        <v>0</v>
      </c>
      <c r="H432" s="116"/>
      <c r="I432" s="117"/>
      <c r="J432" s="116"/>
      <c r="K432" s="80"/>
      <c r="L432" s="79"/>
      <c r="M432" s="79"/>
      <c r="AG432" s="79"/>
      <c r="AH432" s="79"/>
      <c r="DT432" s="99">
        <f t="shared" si="6"/>
        <v>0</v>
      </c>
    </row>
    <row r="433" spans="1:124" ht="37.5" hidden="1" x14ac:dyDescent="0.3">
      <c r="A433" s="143" t="s">
        <v>190</v>
      </c>
      <c r="B433" s="13">
        <v>912</v>
      </c>
      <c r="C433" s="14" t="s">
        <v>189</v>
      </c>
      <c r="D433" s="6" t="s">
        <v>115</v>
      </c>
      <c r="E433" s="14" t="s">
        <v>192</v>
      </c>
      <c r="F433" s="14" t="s">
        <v>191</v>
      </c>
      <c r="G433" s="72">
        <v>0</v>
      </c>
      <c r="H433" s="116">
        <v>3433.6</v>
      </c>
      <c r="I433" s="117"/>
      <c r="J433" s="116"/>
      <c r="K433" s="80"/>
      <c r="L433" s="79"/>
      <c r="M433" s="79">
        <v>1100</v>
      </c>
      <c r="AG433" s="79"/>
      <c r="AH433" s="79">
        <v>-1700</v>
      </c>
      <c r="AI433">
        <v>-300</v>
      </c>
      <c r="AK433" s="79">
        <v>13748</v>
      </c>
      <c r="AX433" s="101">
        <v>-1515.9</v>
      </c>
      <c r="BD433" s="226">
        <v>-196.17948999999999</v>
      </c>
      <c r="BE433" s="226">
        <v>-195.9</v>
      </c>
      <c r="DT433" s="99">
        <f t="shared" si="6"/>
        <v>0</v>
      </c>
    </row>
    <row r="434" spans="1:124" ht="46.5" customHeight="1" x14ac:dyDescent="0.3">
      <c r="A434" s="206" t="s">
        <v>193</v>
      </c>
      <c r="B434" s="10">
        <v>918</v>
      </c>
      <c r="C434" s="11" t="s">
        <v>112</v>
      </c>
      <c r="D434" s="11" t="s">
        <v>112</v>
      </c>
      <c r="E434" s="11" t="s">
        <v>49</v>
      </c>
      <c r="F434" s="11" t="s">
        <v>50</v>
      </c>
      <c r="G434" s="71">
        <f>G442+Z478+G435</f>
        <v>17473.2</v>
      </c>
      <c r="H434" s="116"/>
      <c r="I434" s="117"/>
      <c r="J434" s="116"/>
      <c r="K434" s="80"/>
      <c r="L434" s="79"/>
      <c r="M434" s="79"/>
      <c r="AG434" s="79"/>
      <c r="AH434" s="79"/>
      <c r="DT434" s="99">
        <f t="shared" si="6"/>
        <v>0</v>
      </c>
    </row>
    <row r="435" spans="1:124" ht="34.5" hidden="1" customHeight="1" x14ac:dyDescent="0.3">
      <c r="A435" s="155" t="s">
        <v>122</v>
      </c>
      <c r="B435" s="12">
        <v>918</v>
      </c>
      <c r="C435" s="19" t="s">
        <v>123</v>
      </c>
      <c r="D435" s="19" t="s">
        <v>112</v>
      </c>
      <c r="E435" s="12" t="s">
        <v>49</v>
      </c>
      <c r="F435" s="9" t="s">
        <v>50</v>
      </c>
      <c r="G435" s="68">
        <f>G436</f>
        <v>0</v>
      </c>
      <c r="H435" s="247"/>
      <c r="I435" s="247"/>
      <c r="J435" s="247"/>
      <c r="K435" s="248"/>
      <c r="L435" s="115"/>
      <c r="M435" s="115"/>
      <c r="N435" s="192"/>
      <c r="O435" s="192"/>
      <c r="P435" s="192"/>
      <c r="Q435" s="192"/>
      <c r="R435" s="192"/>
      <c r="S435" s="192"/>
      <c r="T435" s="192"/>
      <c r="U435" s="192"/>
      <c r="V435" s="192"/>
      <c r="W435" s="192"/>
      <c r="X435" s="192"/>
      <c r="Y435" s="192"/>
      <c r="Z435" s="192"/>
      <c r="AA435" s="192"/>
      <c r="AB435" s="192"/>
      <c r="AC435" s="192"/>
      <c r="AD435" s="192"/>
      <c r="AE435" s="192"/>
      <c r="AF435" s="192"/>
      <c r="AG435" s="115"/>
      <c r="AH435" s="115"/>
      <c r="AI435" s="192"/>
      <c r="AJ435" s="192"/>
      <c r="AK435" s="115"/>
      <c r="AL435" s="192"/>
      <c r="AM435" s="192"/>
      <c r="AN435" s="249"/>
      <c r="AO435" s="249"/>
      <c r="AP435" s="250"/>
      <c r="AQ435" s="250"/>
      <c r="AR435" s="251"/>
      <c r="AS435" s="251"/>
      <c r="AT435" s="251"/>
      <c r="AU435" s="192"/>
      <c r="AV435" s="251"/>
      <c r="AW435" s="252"/>
      <c r="AX435" s="252"/>
      <c r="AY435" s="253"/>
      <c r="AZ435" s="253"/>
      <c r="BA435" s="251"/>
      <c r="BB435" s="251"/>
      <c r="BC435" s="253"/>
      <c r="BD435" s="253"/>
      <c r="BE435" s="253"/>
      <c r="BF435" s="192"/>
      <c r="BG435" s="254"/>
      <c r="BH435" s="254"/>
      <c r="BI435" s="254"/>
      <c r="BJ435" s="251"/>
      <c r="BK435" s="253"/>
      <c r="BL435" s="251"/>
      <c r="BM435" s="242"/>
      <c r="BN435" s="242"/>
      <c r="BO435" s="242"/>
      <c r="BP435" s="242"/>
      <c r="BQ435" s="192"/>
      <c r="BR435" s="192"/>
      <c r="BS435" s="192"/>
      <c r="BT435" s="250"/>
      <c r="BU435" s="250"/>
      <c r="BV435" s="192"/>
      <c r="BW435" s="192"/>
      <c r="BX435" s="250"/>
      <c r="BY435" s="250"/>
      <c r="BZ435" s="192"/>
      <c r="CA435" s="253"/>
      <c r="CB435" s="253"/>
      <c r="CC435" s="255"/>
      <c r="DT435" s="99">
        <f t="shared" si="6"/>
        <v>0</v>
      </c>
    </row>
    <row r="436" spans="1:124" ht="33.75" hidden="1" customHeight="1" x14ac:dyDescent="0.3">
      <c r="A436" s="155" t="s">
        <v>147</v>
      </c>
      <c r="B436" s="12">
        <v>918</v>
      </c>
      <c r="C436" s="19" t="s">
        <v>123</v>
      </c>
      <c r="D436" s="19" t="s">
        <v>123</v>
      </c>
      <c r="E436" s="12" t="s">
        <v>49</v>
      </c>
      <c r="F436" s="9" t="s">
        <v>50</v>
      </c>
      <c r="G436" s="68">
        <f>G437</f>
        <v>0</v>
      </c>
      <c r="H436" s="247"/>
      <c r="I436" s="247"/>
      <c r="J436" s="247"/>
      <c r="K436" s="248"/>
      <c r="L436" s="115"/>
      <c r="M436" s="115"/>
      <c r="N436" s="192"/>
      <c r="O436" s="192"/>
      <c r="P436" s="192"/>
      <c r="Q436" s="192"/>
      <c r="R436" s="192"/>
      <c r="S436" s="192"/>
      <c r="T436" s="192"/>
      <c r="U436" s="192"/>
      <c r="V436" s="192"/>
      <c r="W436" s="192"/>
      <c r="X436" s="192"/>
      <c r="Y436" s="192"/>
      <c r="Z436" s="192"/>
      <c r="AA436" s="192"/>
      <c r="AB436" s="192"/>
      <c r="AC436" s="192"/>
      <c r="AD436" s="192"/>
      <c r="AE436" s="192"/>
      <c r="AF436" s="192"/>
      <c r="AG436" s="115"/>
      <c r="AH436" s="115"/>
      <c r="AI436" s="192"/>
      <c r="AJ436" s="192"/>
      <c r="AK436" s="115"/>
      <c r="AL436" s="192"/>
      <c r="AM436" s="192"/>
      <c r="AN436" s="249"/>
      <c r="AO436" s="249"/>
      <c r="AP436" s="250"/>
      <c r="AQ436" s="250"/>
      <c r="AR436" s="251"/>
      <c r="AS436" s="251"/>
      <c r="AT436" s="251"/>
      <c r="AU436" s="192"/>
      <c r="AV436" s="251"/>
      <c r="AW436" s="252"/>
      <c r="AX436" s="252"/>
      <c r="AY436" s="253"/>
      <c r="AZ436" s="253"/>
      <c r="BA436" s="251"/>
      <c r="BB436" s="251"/>
      <c r="BC436" s="253"/>
      <c r="BD436" s="253"/>
      <c r="BE436" s="253"/>
      <c r="BF436" s="192"/>
      <c r="BG436" s="254"/>
      <c r="BH436" s="254"/>
      <c r="BI436" s="254"/>
      <c r="BJ436" s="251"/>
      <c r="BK436" s="253"/>
      <c r="BL436" s="251"/>
      <c r="BM436" s="242"/>
      <c r="BN436" s="242"/>
      <c r="BO436" s="242"/>
      <c r="BP436" s="242"/>
      <c r="BQ436" s="192"/>
      <c r="BR436" s="192"/>
      <c r="BS436" s="192"/>
      <c r="BT436" s="250"/>
      <c r="BU436" s="250"/>
      <c r="BV436" s="192"/>
      <c r="BW436" s="192"/>
      <c r="BX436" s="250"/>
      <c r="BY436" s="250"/>
      <c r="BZ436" s="192"/>
      <c r="CA436" s="253"/>
      <c r="CB436" s="253"/>
      <c r="CC436" s="255"/>
      <c r="DT436" s="99">
        <f t="shared" si="6"/>
        <v>0</v>
      </c>
    </row>
    <row r="437" spans="1:124" ht="46.5" hidden="1" customHeight="1" x14ac:dyDescent="0.3">
      <c r="A437" s="143" t="s">
        <v>38</v>
      </c>
      <c r="B437" s="12">
        <v>918</v>
      </c>
      <c r="C437" s="19" t="s">
        <v>123</v>
      </c>
      <c r="D437" s="19" t="s">
        <v>123</v>
      </c>
      <c r="E437" s="246" t="s">
        <v>400</v>
      </c>
      <c r="F437" s="9" t="s">
        <v>50</v>
      </c>
      <c r="G437" s="68">
        <f>G438+G440</f>
        <v>0</v>
      </c>
      <c r="H437" s="247"/>
      <c r="I437" s="247"/>
      <c r="J437" s="247"/>
      <c r="K437" s="248"/>
      <c r="L437" s="115"/>
      <c r="M437" s="115"/>
      <c r="N437" s="192"/>
      <c r="O437" s="192"/>
      <c r="P437" s="192"/>
      <c r="Q437" s="192"/>
      <c r="R437" s="192"/>
      <c r="S437" s="192"/>
      <c r="T437" s="192"/>
      <c r="U437" s="192"/>
      <c r="V437" s="192"/>
      <c r="W437" s="192"/>
      <c r="X437" s="192"/>
      <c r="Y437" s="192"/>
      <c r="Z437" s="192"/>
      <c r="AA437" s="192"/>
      <c r="AB437" s="192"/>
      <c r="AC437" s="192"/>
      <c r="AD437" s="192"/>
      <c r="AE437" s="192"/>
      <c r="AF437" s="192"/>
      <c r="AG437" s="115"/>
      <c r="AH437" s="115"/>
      <c r="AI437" s="192"/>
      <c r="AJ437" s="192"/>
      <c r="AK437" s="115"/>
      <c r="AL437" s="192"/>
      <c r="AM437" s="192"/>
      <c r="AN437" s="249"/>
      <c r="AO437" s="249"/>
      <c r="AP437" s="250"/>
      <c r="AQ437" s="250"/>
      <c r="AR437" s="251"/>
      <c r="AS437" s="251"/>
      <c r="AT437" s="251"/>
      <c r="AU437" s="192"/>
      <c r="AV437" s="251"/>
      <c r="AW437" s="252"/>
      <c r="AX437" s="252"/>
      <c r="AY437" s="253"/>
      <c r="AZ437" s="253"/>
      <c r="BA437" s="251"/>
      <c r="BB437" s="251"/>
      <c r="BC437" s="253"/>
      <c r="BD437" s="253"/>
      <c r="BE437" s="253"/>
      <c r="BF437" s="192"/>
      <c r="BG437" s="254"/>
      <c r="BH437" s="254"/>
      <c r="BI437" s="254"/>
      <c r="BJ437" s="251"/>
      <c r="BK437" s="253"/>
      <c r="BL437" s="251"/>
      <c r="BM437" s="242"/>
      <c r="BN437" s="242"/>
      <c r="BO437" s="242"/>
      <c r="BP437" s="242"/>
      <c r="BQ437" s="192"/>
      <c r="BR437" s="192"/>
      <c r="BS437" s="192"/>
      <c r="BT437" s="250"/>
      <c r="BU437" s="250"/>
      <c r="BV437" s="192"/>
      <c r="BW437" s="192"/>
      <c r="BX437" s="250"/>
      <c r="BY437" s="250"/>
      <c r="BZ437" s="192"/>
      <c r="CA437" s="253"/>
      <c r="CB437" s="253"/>
      <c r="CC437" s="255"/>
      <c r="DT437" s="99">
        <f t="shared" si="6"/>
        <v>0</v>
      </c>
    </row>
    <row r="438" spans="1:124" ht="28.5" hidden="1" customHeight="1" x14ac:dyDescent="0.3">
      <c r="A438" s="232" t="s">
        <v>903</v>
      </c>
      <c r="B438" s="13">
        <v>918</v>
      </c>
      <c r="C438" s="6" t="s">
        <v>123</v>
      </c>
      <c r="D438" s="6" t="s">
        <v>123</v>
      </c>
      <c r="E438" s="13" t="s">
        <v>901</v>
      </c>
      <c r="F438" s="14" t="s">
        <v>50</v>
      </c>
      <c r="G438" s="68">
        <f>G439</f>
        <v>0</v>
      </c>
      <c r="H438" s="116"/>
      <c r="I438" s="117"/>
      <c r="J438" s="116"/>
      <c r="K438" s="80"/>
      <c r="L438" s="79"/>
      <c r="M438" s="79"/>
      <c r="AG438" s="79"/>
      <c r="AH438" s="79"/>
      <c r="DT438" s="99">
        <f t="shared" si="6"/>
        <v>0</v>
      </c>
    </row>
    <row r="439" spans="1:124" ht="46.5" hidden="1" customHeight="1" x14ac:dyDescent="0.3">
      <c r="A439" s="143" t="s">
        <v>425</v>
      </c>
      <c r="B439" s="13">
        <v>918</v>
      </c>
      <c r="C439" s="6" t="s">
        <v>123</v>
      </c>
      <c r="D439" s="6" t="s">
        <v>123</v>
      </c>
      <c r="E439" s="13" t="s">
        <v>901</v>
      </c>
      <c r="F439" s="14" t="s">
        <v>59</v>
      </c>
      <c r="G439" s="68">
        <v>0</v>
      </c>
      <c r="H439" s="116"/>
      <c r="I439" s="117"/>
      <c r="J439" s="116"/>
      <c r="K439" s="80"/>
      <c r="L439" s="79"/>
      <c r="M439" s="79"/>
      <c r="AG439" s="79"/>
      <c r="AH439" s="79"/>
      <c r="CC439" s="245">
        <v>1529.55</v>
      </c>
      <c r="DT439" s="99">
        <f t="shared" si="6"/>
        <v>0</v>
      </c>
    </row>
    <row r="440" spans="1:124" ht="31.5" hidden="1" customHeight="1" x14ac:dyDescent="0.3">
      <c r="A440" s="232" t="s">
        <v>903</v>
      </c>
      <c r="B440" s="13">
        <v>918</v>
      </c>
      <c r="C440" s="6" t="s">
        <v>123</v>
      </c>
      <c r="D440" s="6" t="s">
        <v>123</v>
      </c>
      <c r="E440" s="13" t="s">
        <v>902</v>
      </c>
      <c r="F440" s="14" t="s">
        <v>50</v>
      </c>
      <c r="G440" s="68">
        <f>G441</f>
        <v>0</v>
      </c>
      <c r="H440" s="116"/>
      <c r="I440" s="117"/>
      <c r="J440" s="116"/>
      <c r="K440" s="80"/>
      <c r="L440" s="79"/>
      <c r="M440" s="79"/>
      <c r="AG440" s="79"/>
      <c r="AH440" s="79"/>
      <c r="DT440" s="99">
        <f t="shared" si="6"/>
        <v>0</v>
      </c>
    </row>
    <row r="441" spans="1:124" ht="46.5" hidden="1" customHeight="1" x14ac:dyDescent="0.3">
      <c r="A441" s="143" t="s">
        <v>425</v>
      </c>
      <c r="B441" s="13">
        <v>918</v>
      </c>
      <c r="C441" s="6" t="s">
        <v>123</v>
      </c>
      <c r="D441" s="6" t="s">
        <v>123</v>
      </c>
      <c r="E441" s="13" t="s">
        <v>902</v>
      </c>
      <c r="F441" s="14" t="s">
        <v>59</v>
      </c>
      <c r="G441" s="68">
        <v>0</v>
      </c>
      <c r="H441" s="116"/>
      <c r="I441" s="117"/>
      <c r="J441" s="116"/>
      <c r="K441" s="80"/>
      <c r="L441" s="79"/>
      <c r="M441" s="79"/>
      <c r="AG441" s="79"/>
      <c r="AH441" s="79"/>
      <c r="CC441" s="245">
        <v>250</v>
      </c>
      <c r="DT441" s="99">
        <f t="shared" si="6"/>
        <v>0</v>
      </c>
    </row>
    <row r="442" spans="1:124" x14ac:dyDescent="0.3">
      <c r="A442" s="155" t="s">
        <v>129</v>
      </c>
      <c r="B442" s="12">
        <v>918</v>
      </c>
      <c r="C442" s="19" t="s">
        <v>130</v>
      </c>
      <c r="D442" s="19" t="s">
        <v>112</v>
      </c>
      <c r="E442" s="12" t="s">
        <v>49</v>
      </c>
      <c r="F442" s="9" t="s">
        <v>50</v>
      </c>
      <c r="G442" s="68">
        <f>G443</f>
        <v>17473.2</v>
      </c>
      <c r="H442" s="116"/>
      <c r="I442" s="117"/>
      <c r="J442" s="116"/>
      <c r="K442" s="80"/>
      <c r="L442" s="79"/>
      <c r="M442" s="79"/>
      <c r="AG442" s="79"/>
      <c r="AH442" s="79"/>
      <c r="DT442" s="99">
        <f t="shared" si="6"/>
        <v>0</v>
      </c>
    </row>
    <row r="443" spans="1:124" x14ac:dyDescent="0.3">
      <c r="A443" s="155" t="s">
        <v>194</v>
      </c>
      <c r="B443" s="12">
        <v>918</v>
      </c>
      <c r="C443" s="19" t="s">
        <v>130</v>
      </c>
      <c r="D443" s="19" t="s">
        <v>115</v>
      </c>
      <c r="E443" s="12" t="s">
        <v>49</v>
      </c>
      <c r="F443" s="9" t="s">
        <v>50</v>
      </c>
      <c r="G443" s="68">
        <f>G444+G476</f>
        <v>17473.2</v>
      </c>
      <c r="H443" s="116"/>
      <c r="I443" s="117"/>
      <c r="J443" s="116"/>
      <c r="K443" s="80"/>
      <c r="L443" s="79"/>
      <c r="M443" s="79"/>
      <c r="AG443" s="79"/>
      <c r="AH443" s="79"/>
      <c r="DT443" s="99">
        <f t="shared" si="6"/>
        <v>0</v>
      </c>
    </row>
    <row r="444" spans="1:124" ht="44.25" customHeight="1" x14ac:dyDescent="0.3">
      <c r="A444" s="156" t="s">
        <v>158</v>
      </c>
      <c r="B444" s="13">
        <v>918</v>
      </c>
      <c r="C444" s="6" t="s">
        <v>130</v>
      </c>
      <c r="D444" s="6" t="s">
        <v>115</v>
      </c>
      <c r="E444" s="14" t="s">
        <v>85</v>
      </c>
      <c r="F444" s="14" t="s">
        <v>50</v>
      </c>
      <c r="G444" s="57">
        <f>G445+G461+G468+G471+G491</f>
        <v>17473.2</v>
      </c>
      <c r="H444" s="116"/>
      <c r="I444" s="117"/>
      <c r="J444" s="116"/>
      <c r="K444" s="80"/>
      <c r="L444" s="79"/>
      <c r="M444" s="79"/>
      <c r="AG444" s="79"/>
      <c r="AH444" s="79"/>
      <c r="DT444" s="99">
        <f t="shared" si="6"/>
        <v>0</v>
      </c>
    </row>
    <row r="445" spans="1:124" ht="55.5" customHeight="1" x14ac:dyDescent="0.3">
      <c r="A445" s="156" t="s">
        <v>143</v>
      </c>
      <c r="B445" s="13">
        <v>918</v>
      </c>
      <c r="C445" s="6" t="s">
        <v>130</v>
      </c>
      <c r="D445" s="6" t="s">
        <v>115</v>
      </c>
      <c r="E445" s="14" t="s">
        <v>87</v>
      </c>
      <c r="F445" s="14" t="s">
        <v>50</v>
      </c>
      <c r="G445" s="57">
        <f>G446+G456</f>
        <v>17346.400000000001</v>
      </c>
      <c r="H445" s="116"/>
      <c r="I445" s="117"/>
      <c r="J445" s="116"/>
      <c r="K445" s="80"/>
      <c r="L445" s="79"/>
      <c r="M445" s="79"/>
      <c r="AG445" s="79"/>
      <c r="AH445" s="79"/>
      <c r="DT445" s="99">
        <f t="shared" si="6"/>
        <v>0</v>
      </c>
    </row>
    <row r="446" spans="1:124" ht="37.5" x14ac:dyDescent="0.3">
      <c r="A446" s="143" t="s">
        <v>52</v>
      </c>
      <c r="B446" s="13">
        <v>918</v>
      </c>
      <c r="C446" s="6" t="s">
        <v>130</v>
      </c>
      <c r="D446" s="6" t="s">
        <v>115</v>
      </c>
      <c r="E446" s="14" t="s">
        <v>196</v>
      </c>
      <c r="F446" s="14" t="s">
        <v>50</v>
      </c>
      <c r="G446" s="57">
        <f>G447+G454</f>
        <v>17257.900000000001</v>
      </c>
      <c r="H446" s="116"/>
      <c r="I446" s="117"/>
      <c r="J446" s="116"/>
      <c r="K446" s="80"/>
      <c r="L446" s="79"/>
      <c r="M446" s="79"/>
      <c r="AG446" s="79"/>
      <c r="AH446" s="79"/>
      <c r="DT446" s="99">
        <f t="shared" si="6"/>
        <v>0</v>
      </c>
    </row>
    <row r="447" spans="1:124" x14ac:dyDescent="0.3">
      <c r="A447" s="143" t="s">
        <v>195</v>
      </c>
      <c r="B447" s="13">
        <v>918</v>
      </c>
      <c r="C447" s="6" t="s">
        <v>130</v>
      </c>
      <c r="D447" s="6" t="s">
        <v>115</v>
      </c>
      <c r="E447" s="14" t="s">
        <v>197</v>
      </c>
      <c r="F447" s="14" t="s">
        <v>50</v>
      </c>
      <c r="G447" s="57">
        <f>G448+G449+G451+G452+G450</f>
        <v>17257.900000000001</v>
      </c>
      <c r="H447" s="116"/>
      <c r="I447" s="117"/>
      <c r="J447" s="116"/>
      <c r="K447" s="80"/>
      <c r="L447" s="79"/>
      <c r="M447" s="79"/>
      <c r="AG447" s="79"/>
      <c r="AH447" s="79"/>
      <c r="DT447" s="99">
        <f t="shared" si="6"/>
        <v>0</v>
      </c>
    </row>
    <row r="448" spans="1:124" ht="93.75" x14ac:dyDescent="0.3">
      <c r="A448" s="143" t="s">
        <v>56</v>
      </c>
      <c r="B448" s="13">
        <v>918</v>
      </c>
      <c r="C448" s="6" t="s">
        <v>130</v>
      </c>
      <c r="D448" s="6" t="s">
        <v>115</v>
      </c>
      <c r="E448" s="14" t="s">
        <v>197</v>
      </c>
      <c r="F448" s="14" t="s">
        <v>57</v>
      </c>
      <c r="G448" s="57">
        <f>DT448</f>
        <v>10777.5</v>
      </c>
      <c r="H448" s="125">
        <v>9411.5</v>
      </c>
      <c r="I448" s="126"/>
      <c r="J448" s="125"/>
      <c r="K448" s="80"/>
      <c r="L448" s="79"/>
      <c r="M448" s="79"/>
      <c r="AG448" s="79"/>
      <c r="AH448" s="79"/>
      <c r="AK448" s="79">
        <v>9707.2999999999993</v>
      </c>
      <c r="BK448" s="226">
        <v>211.2</v>
      </c>
      <c r="BM448" s="100">
        <v>11284.7</v>
      </c>
      <c r="CG448" s="194">
        <v>-2.1414599999999999</v>
      </c>
      <c r="CS448" s="264">
        <v>13883.6</v>
      </c>
      <c r="DO448" s="274">
        <f>15377.5-4600</f>
        <v>10777.5</v>
      </c>
      <c r="DT448" s="99">
        <f t="shared" si="6"/>
        <v>10777.5</v>
      </c>
    </row>
    <row r="449" spans="1:124" ht="37.5" x14ac:dyDescent="0.3">
      <c r="A449" s="143" t="s">
        <v>425</v>
      </c>
      <c r="B449" s="13">
        <v>918</v>
      </c>
      <c r="C449" s="6" t="s">
        <v>130</v>
      </c>
      <c r="D449" s="6" t="s">
        <v>115</v>
      </c>
      <c r="E449" s="14" t="s">
        <v>197</v>
      </c>
      <c r="F449" s="14" t="s">
        <v>59</v>
      </c>
      <c r="G449" s="57">
        <f>DT449</f>
        <v>1873.1</v>
      </c>
      <c r="H449" s="125">
        <v>1425.9</v>
      </c>
      <c r="I449" s="126"/>
      <c r="J449" s="125"/>
      <c r="K449" s="80"/>
      <c r="L449" s="79"/>
      <c r="M449" s="79"/>
      <c r="W449">
        <v>200</v>
      </c>
      <c r="AC449">
        <v>7.9</v>
      </c>
      <c r="AE449">
        <f>7.9+138.9</f>
        <v>146.80000000000001</v>
      </c>
      <c r="AG449" s="79"/>
      <c r="AH449" s="79">
        <v>-1.3580000000000001</v>
      </c>
      <c r="AK449" s="79">
        <v>1234</v>
      </c>
      <c r="AV449" s="194">
        <v>23</v>
      </c>
      <c r="AX449" s="101">
        <v>47.9</v>
      </c>
      <c r="BE449" s="226">
        <v>15</v>
      </c>
      <c r="BL449" s="194">
        <v>-111.6</v>
      </c>
      <c r="BM449" s="100">
        <v>1366.4</v>
      </c>
      <c r="BX449" s="151">
        <v>30</v>
      </c>
      <c r="CB449" s="226">
        <v>250</v>
      </c>
      <c r="CC449" s="245">
        <v>-250</v>
      </c>
      <c r="CF449" s="194">
        <v>20</v>
      </c>
      <c r="CH449" s="258">
        <v>250</v>
      </c>
      <c r="CS449" s="264">
        <f>1359.5+357.3</f>
        <v>1716.8</v>
      </c>
      <c r="CV449" s="268">
        <v>400</v>
      </c>
      <c r="DC449" s="194">
        <v>20</v>
      </c>
      <c r="DF449" s="194">
        <f>24.2+113.1</f>
        <v>137.29999999999998</v>
      </c>
      <c r="DP449" s="99">
        <f>1138+191+12.1+13.7</f>
        <v>1354.8</v>
      </c>
      <c r="DQ449" s="99">
        <f>132.6-7.3</f>
        <v>125.3</v>
      </c>
      <c r="DR449" s="99">
        <v>393</v>
      </c>
      <c r="DT449" s="99">
        <f t="shared" si="6"/>
        <v>1873.1</v>
      </c>
    </row>
    <row r="450" spans="1:124" ht="37.5" hidden="1" x14ac:dyDescent="0.3">
      <c r="A450" s="143" t="s">
        <v>175</v>
      </c>
      <c r="B450" s="13">
        <v>918</v>
      </c>
      <c r="C450" s="6" t="s">
        <v>130</v>
      </c>
      <c r="D450" s="6" t="s">
        <v>115</v>
      </c>
      <c r="E450" s="14" t="s">
        <v>197</v>
      </c>
      <c r="F450" s="14" t="s">
        <v>176</v>
      </c>
      <c r="G450" s="57">
        <v>0</v>
      </c>
      <c r="H450" s="125"/>
      <c r="I450" s="126"/>
      <c r="J450" s="125"/>
      <c r="K450" s="80"/>
      <c r="L450" s="79"/>
      <c r="M450" s="79"/>
      <c r="AG450" s="79"/>
      <c r="AH450" s="79"/>
      <c r="CG450" s="194">
        <v>2.1414599999999999</v>
      </c>
      <c r="DT450" s="99">
        <f t="shared" si="6"/>
        <v>0</v>
      </c>
    </row>
    <row r="451" spans="1:124" ht="27.75" customHeight="1" x14ac:dyDescent="0.3">
      <c r="A451" s="143" t="s">
        <v>60</v>
      </c>
      <c r="B451" s="13">
        <v>918</v>
      </c>
      <c r="C451" s="6" t="s">
        <v>130</v>
      </c>
      <c r="D451" s="6" t="s">
        <v>115</v>
      </c>
      <c r="E451" s="14" t="s">
        <v>197</v>
      </c>
      <c r="F451" s="14" t="s">
        <v>61</v>
      </c>
      <c r="G451" s="57">
        <f>DT451</f>
        <v>7.3</v>
      </c>
      <c r="H451" s="125">
        <v>8.8000000000000007</v>
      </c>
      <c r="I451" s="126"/>
      <c r="J451" s="125"/>
      <c r="K451" s="80"/>
      <c r="L451" s="79"/>
      <c r="M451" s="79"/>
      <c r="AG451" s="79"/>
      <c r="AH451" s="79"/>
      <c r="AK451" s="79">
        <v>9.1999999999999993</v>
      </c>
      <c r="BL451" s="194">
        <v>-0.61099999999999999</v>
      </c>
      <c r="BM451" s="100">
        <v>8.4</v>
      </c>
      <c r="CS451" s="264">
        <v>8</v>
      </c>
      <c r="DQ451" s="99">
        <v>7.3</v>
      </c>
      <c r="DT451" s="99">
        <f t="shared" si="6"/>
        <v>7.3</v>
      </c>
    </row>
    <row r="452" spans="1:124" ht="37.5" x14ac:dyDescent="0.3">
      <c r="A452" s="162" t="s">
        <v>374</v>
      </c>
      <c r="B452" s="13">
        <v>918</v>
      </c>
      <c r="C452" s="6" t="s">
        <v>130</v>
      </c>
      <c r="D452" s="6" t="s">
        <v>115</v>
      </c>
      <c r="E452" s="14" t="s">
        <v>426</v>
      </c>
      <c r="F452" s="14" t="s">
        <v>50</v>
      </c>
      <c r="G452" s="57">
        <f>G453</f>
        <v>4600</v>
      </c>
      <c r="H452" s="116"/>
      <c r="I452" s="117"/>
      <c r="J452" s="116"/>
      <c r="K452" s="80"/>
      <c r="L452" s="79"/>
      <c r="M452" s="79"/>
      <c r="AG452" s="79"/>
      <c r="AH452" s="79"/>
      <c r="DT452" s="99">
        <f t="shared" si="6"/>
        <v>0</v>
      </c>
    </row>
    <row r="453" spans="1:124" ht="93.75" x14ac:dyDescent="0.3">
      <c r="A453" s="143" t="s">
        <v>56</v>
      </c>
      <c r="B453" s="13">
        <v>918</v>
      </c>
      <c r="C453" s="6" t="s">
        <v>130</v>
      </c>
      <c r="D453" s="6" t="s">
        <v>115</v>
      </c>
      <c r="E453" s="14" t="s">
        <v>426</v>
      </c>
      <c r="F453" s="14" t="s">
        <v>57</v>
      </c>
      <c r="G453" s="57">
        <f>DT453</f>
        <v>4600</v>
      </c>
      <c r="H453" s="116"/>
      <c r="I453" s="117"/>
      <c r="J453" s="116"/>
      <c r="K453" s="80"/>
      <c r="L453" s="79"/>
      <c r="M453" s="79"/>
      <c r="Z453">
        <v>23.9</v>
      </c>
      <c r="AG453" s="79">
        <v>130.1</v>
      </c>
      <c r="AH453" s="79"/>
      <c r="AK453" s="79">
        <v>0</v>
      </c>
      <c r="AP453" s="151">
        <v>1030.9000000000001</v>
      </c>
      <c r="BK453" s="226">
        <v>575.20000000000005</v>
      </c>
      <c r="BY453" s="151">
        <v>1346.6</v>
      </c>
      <c r="CI453" s="194">
        <v>1137.4000000000001</v>
      </c>
      <c r="CW453" s="268">
        <v>1402.2</v>
      </c>
      <c r="DO453" s="274">
        <v>4600</v>
      </c>
      <c r="DT453" s="99">
        <f t="shared" si="6"/>
        <v>4600</v>
      </c>
    </row>
    <row r="454" spans="1:124" ht="44.25" hidden="1" customHeight="1" x14ac:dyDescent="0.3">
      <c r="A454" s="162" t="s">
        <v>378</v>
      </c>
      <c r="B454" s="13">
        <v>918</v>
      </c>
      <c r="C454" s="6" t="s">
        <v>130</v>
      </c>
      <c r="D454" s="6" t="s">
        <v>115</v>
      </c>
      <c r="E454" s="14" t="s">
        <v>427</v>
      </c>
      <c r="F454" s="14" t="s">
        <v>50</v>
      </c>
      <c r="G454" s="57">
        <f>G455</f>
        <v>0</v>
      </c>
      <c r="H454" s="116"/>
      <c r="I454" s="117"/>
      <c r="J454" s="116"/>
      <c r="K454" s="80"/>
      <c r="L454" s="79"/>
      <c r="M454" s="79"/>
      <c r="AG454" s="79"/>
      <c r="AH454" s="79"/>
      <c r="DT454" s="99">
        <f t="shared" si="6"/>
        <v>0</v>
      </c>
    </row>
    <row r="455" spans="1:124" ht="93.75" hidden="1" x14ac:dyDescent="0.3">
      <c r="A455" s="143" t="s">
        <v>56</v>
      </c>
      <c r="B455" s="13">
        <v>918</v>
      </c>
      <c r="C455" s="6" t="s">
        <v>130</v>
      </c>
      <c r="D455" s="6" t="s">
        <v>115</v>
      </c>
      <c r="E455" s="14" t="s">
        <v>427</v>
      </c>
      <c r="F455" s="14" t="s">
        <v>57</v>
      </c>
      <c r="G455" s="57">
        <v>0</v>
      </c>
      <c r="H455" s="116"/>
      <c r="I455" s="117"/>
      <c r="J455" s="116"/>
      <c r="K455" s="80"/>
      <c r="L455" s="79"/>
      <c r="M455" s="79"/>
      <c r="AG455" s="79"/>
      <c r="AH455" s="79"/>
      <c r="DT455" s="99">
        <f t="shared" si="6"/>
        <v>0</v>
      </c>
    </row>
    <row r="456" spans="1:124" x14ac:dyDescent="0.3">
      <c r="A456" s="143" t="s">
        <v>62</v>
      </c>
      <c r="B456" s="13">
        <v>918</v>
      </c>
      <c r="C456" s="6" t="s">
        <v>130</v>
      </c>
      <c r="D456" s="6" t="s">
        <v>115</v>
      </c>
      <c r="E456" s="14" t="s">
        <v>198</v>
      </c>
      <c r="F456" s="14" t="s">
        <v>50</v>
      </c>
      <c r="G456" s="57">
        <f>G457</f>
        <v>88.5</v>
      </c>
      <c r="H456" s="116"/>
      <c r="I456" s="117"/>
      <c r="J456" s="116"/>
      <c r="K456" s="80"/>
      <c r="L456" s="79"/>
      <c r="M456" s="79"/>
      <c r="AG456" s="79"/>
      <c r="AH456" s="79"/>
      <c r="DT456" s="99">
        <f t="shared" si="6"/>
        <v>0</v>
      </c>
    </row>
    <row r="457" spans="1:124" ht="24.75" customHeight="1" x14ac:dyDescent="0.3">
      <c r="A457" s="143" t="s">
        <v>75</v>
      </c>
      <c r="B457" s="13">
        <v>918</v>
      </c>
      <c r="C457" s="14" t="s">
        <v>130</v>
      </c>
      <c r="D457" s="14" t="s">
        <v>115</v>
      </c>
      <c r="E457" s="14" t="s">
        <v>199</v>
      </c>
      <c r="F457" s="14" t="s">
        <v>50</v>
      </c>
      <c r="G457" s="57">
        <f>G458</f>
        <v>88.5</v>
      </c>
      <c r="H457" s="116"/>
      <c r="I457" s="117"/>
      <c r="J457" s="116"/>
      <c r="K457" s="80"/>
      <c r="L457" s="79"/>
      <c r="M457" s="79"/>
      <c r="AG457" s="79"/>
      <c r="AH457" s="79"/>
      <c r="DT457" s="99">
        <f t="shared" si="6"/>
        <v>0</v>
      </c>
    </row>
    <row r="458" spans="1:124" ht="37.5" x14ac:dyDescent="0.3">
      <c r="A458" s="143" t="s">
        <v>425</v>
      </c>
      <c r="B458" s="13">
        <v>918</v>
      </c>
      <c r="C458" s="6" t="s">
        <v>130</v>
      </c>
      <c r="D458" s="6" t="s">
        <v>115</v>
      </c>
      <c r="E458" s="14" t="s">
        <v>199</v>
      </c>
      <c r="F458" s="14" t="s">
        <v>59</v>
      </c>
      <c r="G458" s="57">
        <f>DT458</f>
        <v>88.5</v>
      </c>
      <c r="H458" s="116">
        <v>88.5</v>
      </c>
      <c r="I458" s="117"/>
      <c r="J458" s="116"/>
      <c r="K458" s="80"/>
      <c r="L458" s="79"/>
      <c r="M458" s="79"/>
      <c r="U458">
        <v>40</v>
      </c>
      <c r="AC458">
        <v>10</v>
      </c>
      <c r="AG458" s="79"/>
      <c r="AH458" s="79"/>
      <c r="AK458" s="79">
        <v>88.5</v>
      </c>
      <c r="BJ458" s="194">
        <v>35</v>
      </c>
      <c r="BM458" s="100">
        <v>88.5</v>
      </c>
      <c r="CL458" s="194">
        <v>35</v>
      </c>
      <c r="CS458" s="264">
        <v>88.5</v>
      </c>
      <c r="DR458" s="99">
        <v>88.5</v>
      </c>
      <c r="DT458" s="99">
        <f t="shared" ref="DT458:DT521" si="8">DN458+DO458+DP458+DQ458+DR458+DS458</f>
        <v>88.5</v>
      </c>
    </row>
    <row r="459" spans="1:124" ht="25.5" hidden="1" customHeight="1" outlineLevel="1" x14ac:dyDescent="0.3">
      <c r="A459" s="143" t="s">
        <v>64</v>
      </c>
      <c r="B459" s="13">
        <v>918</v>
      </c>
      <c r="C459" s="6" t="s">
        <v>130</v>
      </c>
      <c r="D459" s="6" t="s">
        <v>115</v>
      </c>
      <c r="E459" s="14" t="s">
        <v>200</v>
      </c>
      <c r="F459" s="14" t="s">
        <v>50</v>
      </c>
      <c r="G459" s="57">
        <f>G460</f>
        <v>0</v>
      </c>
      <c r="H459" s="116"/>
      <c r="I459" s="117"/>
      <c r="J459" s="116"/>
      <c r="K459" s="80"/>
      <c r="L459" s="79"/>
      <c r="M459" s="79"/>
      <c r="AG459" s="79"/>
      <c r="AH459" s="79"/>
      <c r="DT459" s="99">
        <f t="shared" si="8"/>
        <v>0</v>
      </c>
    </row>
    <row r="460" spans="1:124" ht="37.5" hidden="1" outlineLevel="1" x14ac:dyDescent="0.3">
      <c r="A460" s="143" t="s">
        <v>58</v>
      </c>
      <c r="B460" s="13">
        <v>918</v>
      </c>
      <c r="C460" s="6" t="s">
        <v>130</v>
      </c>
      <c r="D460" s="6" t="s">
        <v>115</v>
      </c>
      <c r="E460" s="14" t="s">
        <v>200</v>
      </c>
      <c r="F460" s="14" t="s">
        <v>59</v>
      </c>
      <c r="G460" s="57"/>
      <c r="H460" s="116"/>
      <c r="I460" s="117"/>
      <c r="J460" s="116"/>
      <c r="K460" s="80"/>
      <c r="L460" s="79"/>
      <c r="M460" s="79"/>
      <c r="AG460" s="79"/>
      <c r="AH460" s="79"/>
      <c r="DT460" s="99">
        <f t="shared" si="8"/>
        <v>0</v>
      </c>
    </row>
    <row r="461" spans="1:124" hidden="1" x14ac:dyDescent="0.3">
      <c r="A461" s="143" t="s">
        <v>409</v>
      </c>
      <c r="B461" s="13">
        <v>918</v>
      </c>
      <c r="C461" s="6" t="s">
        <v>130</v>
      </c>
      <c r="D461" s="6" t="s">
        <v>115</v>
      </c>
      <c r="E461" s="14" t="s">
        <v>90</v>
      </c>
      <c r="F461" s="14" t="s">
        <v>50</v>
      </c>
      <c r="G461" s="57">
        <f>G462</f>
        <v>0</v>
      </c>
      <c r="H461" s="116"/>
      <c r="I461" s="117"/>
      <c r="J461" s="116"/>
      <c r="K461" s="80"/>
      <c r="L461" s="79"/>
      <c r="M461" s="79"/>
      <c r="AG461" s="79"/>
      <c r="AH461" s="79"/>
      <c r="DT461" s="99">
        <f t="shared" si="8"/>
        <v>0</v>
      </c>
    </row>
    <row r="462" spans="1:124" hidden="1" x14ac:dyDescent="0.3">
      <c r="A462" s="163" t="s">
        <v>62</v>
      </c>
      <c r="B462" s="49">
        <v>918</v>
      </c>
      <c r="C462" s="92" t="s">
        <v>130</v>
      </c>
      <c r="D462" s="92" t="s">
        <v>115</v>
      </c>
      <c r="E462" s="44" t="s">
        <v>310</v>
      </c>
      <c r="F462" s="44" t="s">
        <v>50</v>
      </c>
      <c r="G462" s="57">
        <f>G463</f>
        <v>0</v>
      </c>
      <c r="H462" s="116"/>
      <c r="I462" s="117"/>
      <c r="J462" s="116"/>
      <c r="K462" s="80"/>
      <c r="L462" s="79"/>
      <c r="M462" s="79"/>
      <c r="AG462" s="79"/>
      <c r="AH462" s="79"/>
      <c r="DT462" s="99">
        <f t="shared" si="8"/>
        <v>0</v>
      </c>
    </row>
    <row r="463" spans="1:124" ht="37.5" hidden="1" x14ac:dyDescent="0.3">
      <c r="A463" s="163" t="s">
        <v>385</v>
      </c>
      <c r="B463" s="49">
        <v>918</v>
      </c>
      <c r="C463" s="92" t="s">
        <v>130</v>
      </c>
      <c r="D463" s="92" t="s">
        <v>115</v>
      </c>
      <c r="E463" s="44" t="s">
        <v>386</v>
      </c>
      <c r="F463" s="44" t="s">
        <v>50</v>
      </c>
      <c r="G463" s="57">
        <f>G464</f>
        <v>0</v>
      </c>
      <c r="H463" s="116"/>
      <c r="I463" s="117"/>
      <c r="J463" s="116"/>
      <c r="K463" s="80"/>
      <c r="L463" s="79"/>
      <c r="M463" s="79"/>
      <c r="AG463" s="79"/>
      <c r="AH463" s="79"/>
      <c r="DT463" s="99">
        <f t="shared" si="8"/>
        <v>0</v>
      </c>
    </row>
    <row r="464" spans="1:124" ht="37.5" hidden="1" x14ac:dyDescent="0.3">
      <c r="A464" s="143" t="s">
        <v>425</v>
      </c>
      <c r="B464" s="49">
        <v>918</v>
      </c>
      <c r="C464" s="92" t="s">
        <v>130</v>
      </c>
      <c r="D464" s="92" t="s">
        <v>115</v>
      </c>
      <c r="E464" s="44" t="s">
        <v>386</v>
      </c>
      <c r="F464" s="44" t="s">
        <v>59</v>
      </c>
      <c r="G464" s="57">
        <v>0</v>
      </c>
      <c r="H464" s="116"/>
      <c r="I464" s="117"/>
      <c r="J464" s="116"/>
      <c r="K464" s="80"/>
      <c r="L464" s="79"/>
      <c r="M464" s="79"/>
      <c r="AG464" s="79"/>
      <c r="AH464" s="79"/>
      <c r="BE464" s="226">
        <v>15</v>
      </c>
      <c r="BL464" s="194">
        <v>-2</v>
      </c>
      <c r="CJ464" s="194">
        <v>15</v>
      </c>
      <c r="DC464" s="194">
        <v>20</v>
      </c>
      <c r="DT464" s="99">
        <f t="shared" si="8"/>
        <v>0</v>
      </c>
    </row>
    <row r="465" spans="1:124" hidden="1" x14ac:dyDescent="0.3">
      <c r="A465" s="163" t="s">
        <v>435</v>
      </c>
      <c r="B465" s="49">
        <v>918</v>
      </c>
      <c r="C465" s="92" t="s">
        <v>130</v>
      </c>
      <c r="D465" s="92" t="s">
        <v>115</v>
      </c>
      <c r="E465" s="44" t="s">
        <v>436</v>
      </c>
      <c r="F465" s="44" t="s">
        <v>50</v>
      </c>
      <c r="G465" s="57">
        <f>G466+G467</f>
        <v>0</v>
      </c>
      <c r="H465" s="116"/>
      <c r="I465" s="117"/>
      <c r="J465" s="116"/>
      <c r="K465" s="80"/>
      <c r="L465" s="79"/>
      <c r="M465" s="79"/>
      <c r="AG465" s="79"/>
      <c r="AH465" s="79"/>
      <c r="DT465" s="99">
        <f t="shared" si="8"/>
        <v>0</v>
      </c>
    </row>
    <row r="466" spans="1:124" ht="93.75" hidden="1" x14ac:dyDescent="0.3">
      <c r="A466" s="163" t="s">
        <v>56</v>
      </c>
      <c r="B466" s="49">
        <v>918</v>
      </c>
      <c r="C466" s="92" t="s">
        <v>130</v>
      </c>
      <c r="D466" s="92" t="s">
        <v>115</v>
      </c>
      <c r="E466" s="44" t="s">
        <v>436</v>
      </c>
      <c r="F466" s="44" t="s">
        <v>57</v>
      </c>
      <c r="G466" s="57">
        <v>0</v>
      </c>
      <c r="H466" s="116"/>
      <c r="I466" s="117"/>
      <c r="J466" s="116"/>
      <c r="K466" s="80"/>
      <c r="L466" s="79"/>
      <c r="M466" s="79"/>
      <c r="AG466" s="79"/>
      <c r="AH466" s="79"/>
      <c r="DT466" s="99">
        <f t="shared" si="8"/>
        <v>0</v>
      </c>
    </row>
    <row r="467" spans="1:124" ht="37.5" hidden="1" x14ac:dyDescent="0.3">
      <c r="A467" s="143" t="s">
        <v>425</v>
      </c>
      <c r="B467" s="49">
        <v>918</v>
      </c>
      <c r="C467" s="92" t="s">
        <v>130</v>
      </c>
      <c r="D467" s="92" t="s">
        <v>115</v>
      </c>
      <c r="E467" s="44" t="s">
        <v>436</v>
      </c>
      <c r="F467" s="44" t="s">
        <v>59</v>
      </c>
      <c r="G467" s="57">
        <v>0</v>
      </c>
      <c r="H467" s="116"/>
      <c r="I467" s="117"/>
      <c r="J467" s="116"/>
      <c r="K467" s="80"/>
      <c r="L467" s="79"/>
      <c r="M467" s="79"/>
      <c r="AG467" s="79"/>
      <c r="AH467" s="79"/>
      <c r="DT467" s="99">
        <f t="shared" si="8"/>
        <v>0</v>
      </c>
    </row>
    <row r="468" spans="1:124" ht="56.25" hidden="1" x14ac:dyDescent="0.3">
      <c r="A468" s="143" t="s">
        <v>484</v>
      </c>
      <c r="B468" s="49">
        <v>918</v>
      </c>
      <c r="C468" s="92" t="s">
        <v>130</v>
      </c>
      <c r="D468" s="92" t="s">
        <v>115</v>
      </c>
      <c r="E468" s="44" t="s">
        <v>485</v>
      </c>
      <c r="F468" s="44" t="s">
        <v>50</v>
      </c>
      <c r="G468" s="57">
        <f>G469+G470</f>
        <v>0</v>
      </c>
      <c r="H468" s="116"/>
      <c r="I468" s="117"/>
      <c r="J468" s="116"/>
      <c r="K468" s="80"/>
      <c r="L468" s="79"/>
      <c r="M468" s="79"/>
      <c r="AG468" s="79"/>
      <c r="AH468" s="79"/>
      <c r="DT468" s="99">
        <f t="shared" si="8"/>
        <v>0</v>
      </c>
    </row>
    <row r="469" spans="1:124" ht="93.75" hidden="1" x14ac:dyDescent="0.3">
      <c r="A469" s="143" t="s">
        <v>56</v>
      </c>
      <c r="B469" s="49">
        <v>918</v>
      </c>
      <c r="C469" s="92" t="s">
        <v>130</v>
      </c>
      <c r="D469" s="92" t="s">
        <v>115</v>
      </c>
      <c r="E469" s="44" t="s">
        <v>485</v>
      </c>
      <c r="F469" s="44" t="s">
        <v>57</v>
      </c>
      <c r="G469" s="57">
        <v>0</v>
      </c>
      <c r="H469" s="116"/>
      <c r="I469" s="117"/>
      <c r="J469" s="116"/>
      <c r="K469" s="80"/>
      <c r="L469" s="79"/>
      <c r="M469" s="79">
        <v>1.0409999999999999</v>
      </c>
      <c r="AG469" s="79"/>
      <c r="AH469" s="79"/>
      <c r="AK469" s="79">
        <v>0</v>
      </c>
      <c r="DT469" s="99">
        <f t="shared" si="8"/>
        <v>0</v>
      </c>
    </row>
    <row r="470" spans="1:124" ht="37.5" hidden="1" x14ac:dyDescent="0.3">
      <c r="A470" s="143" t="s">
        <v>425</v>
      </c>
      <c r="B470" s="49">
        <v>918</v>
      </c>
      <c r="C470" s="92" t="s">
        <v>130</v>
      </c>
      <c r="D470" s="92" t="s">
        <v>115</v>
      </c>
      <c r="E470" s="44" t="s">
        <v>485</v>
      </c>
      <c r="F470" s="44" t="s">
        <v>59</v>
      </c>
      <c r="G470" s="57">
        <v>0</v>
      </c>
      <c r="H470" s="116"/>
      <c r="I470" s="117"/>
      <c r="J470" s="116"/>
      <c r="K470" s="80"/>
      <c r="L470" s="79"/>
      <c r="M470" s="79">
        <v>10.416</v>
      </c>
      <c r="AG470" s="79"/>
      <c r="AH470" s="79"/>
      <c r="AK470" s="79">
        <v>0</v>
      </c>
      <c r="DT470" s="99">
        <f t="shared" si="8"/>
        <v>0</v>
      </c>
    </row>
    <row r="471" spans="1:124" x14ac:dyDescent="0.3">
      <c r="A471" s="143" t="s">
        <v>387</v>
      </c>
      <c r="B471" s="49">
        <v>918</v>
      </c>
      <c r="C471" s="6" t="s">
        <v>130</v>
      </c>
      <c r="D471" s="6" t="s">
        <v>115</v>
      </c>
      <c r="E471" s="113" t="s">
        <v>1171</v>
      </c>
      <c r="F471" s="14" t="s">
        <v>50</v>
      </c>
      <c r="G471" s="57">
        <f>G472</f>
        <v>126.8</v>
      </c>
      <c r="H471" s="116"/>
      <c r="I471" s="117"/>
      <c r="J471" s="116"/>
      <c r="K471" s="80"/>
      <c r="L471" s="79"/>
      <c r="M471" s="79"/>
      <c r="AG471" s="79"/>
      <c r="AH471" s="79"/>
      <c r="DT471" s="99">
        <f t="shared" si="8"/>
        <v>0</v>
      </c>
    </row>
    <row r="472" spans="1:124" ht="37.5" x14ac:dyDescent="0.3">
      <c r="A472" s="143" t="s">
        <v>425</v>
      </c>
      <c r="B472" s="49">
        <v>918</v>
      </c>
      <c r="C472" s="6" t="s">
        <v>130</v>
      </c>
      <c r="D472" s="6" t="s">
        <v>115</v>
      </c>
      <c r="E472" s="113" t="s">
        <v>1171</v>
      </c>
      <c r="F472" s="14" t="s">
        <v>59</v>
      </c>
      <c r="G472" s="57">
        <f>DT472</f>
        <v>126.8</v>
      </c>
      <c r="H472" s="125"/>
      <c r="I472" s="126">
        <v>146.30000000000001</v>
      </c>
      <c r="J472" s="125">
        <v>1.5</v>
      </c>
      <c r="K472" s="80"/>
      <c r="L472" s="79"/>
      <c r="M472" s="79"/>
      <c r="AG472" s="79">
        <v>134.41999999999999</v>
      </c>
      <c r="AH472" s="79">
        <v>1.3580000000000001</v>
      </c>
      <c r="AK472" s="79">
        <v>134.69999999999999</v>
      </c>
      <c r="BL472" s="194">
        <v>-2.1999999999999999E-2</v>
      </c>
      <c r="BO472" s="238">
        <v>125.4</v>
      </c>
      <c r="BP472" s="239">
        <v>1.3</v>
      </c>
      <c r="CQ472" s="99">
        <f>124.3+1.3</f>
        <v>125.6</v>
      </c>
      <c r="CT472" s="258">
        <v>0.7</v>
      </c>
      <c r="DN472" s="274">
        <f>125.5+1.3</f>
        <v>126.8</v>
      </c>
      <c r="DT472" s="99">
        <f t="shared" si="8"/>
        <v>126.8</v>
      </c>
    </row>
    <row r="473" spans="1:124" hidden="1" x14ac:dyDescent="0.3">
      <c r="A473" s="143" t="s">
        <v>689</v>
      </c>
      <c r="B473" s="49">
        <v>918</v>
      </c>
      <c r="C473" s="6" t="s">
        <v>130</v>
      </c>
      <c r="D473" s="6" t="s">
        <v>115</v>
      </c>
      <c r="E473" s="14" t="s">
        <v>690</v>
      </c>
      <c r="F473" s="14" t="s">
        <v>50</v>
      </c>
      <c r="G473" s="57">
        <f>BP472</f>
        <v>1.3</v>
      </c>
      <c r="H473" s="125"/>
      <c r="I473" s="126"/>
      <c r="J473" s="125"/>
      <c r="K473" s="80"/>
      <c r="L473" s="79"/>
      <c r="M473" s="79"/>
      <c r="AG473" s="79"/>
      <c r="AH473" s="79"/>
      <c r="DT473" s="99">
        <f t="shared" si="8"/>
        <v>0</v>
      </c>
    </row>
    <row r="474" spans="1:124" ht="37.5" hidden="1" x14ac:dyDescent="0.3">
      <c r="A474" s="143" t="s">
        <v>425</v>
      </c>
      <c r="B474" s="49">
        <v>918</v>
      </c>
      <c r="C474" s="6" t="s">
        <v>130</v>
      </c>
      <c r="D474" s="6" t="s">
        <v>115</v>
      </c>
      <c r="E474" s="14" t="s">
        <v>690</v>
      </c>
      <c r="F474" s="14" t="s">
        <v>59</v>
      </c>
      <c r="G474" s="57">
        <v>0</v>
      </c>
      <c r="H474" s="125"/>
      <c r="I474" s="126">
        <v>5000</v>
      </c>
      <c r="J474" s="125"/>
      <c r="K474" s="80"/>
      <c r="L474" s="79"/>
      <c r="M474" s="79"/>
      <c r="AG474" s="79"/>
      <c r="AH474" s="79"/>
      <c r="DT474" s="99">
        <f t="shared" si="8"/>
        <v>0</v>
      </c>
    </row>
    <row r="475" spans="1:124" ht="56.25" hidden="1" x14ac:dyDescent="0.3">
      <c r="A475" s="156" t="s">
        <v>161</v>
      </c>
      <c r="B475" s="13">
        <v>905</v>
      </c>
      <c r="C475" s="97" t="s">
        <v>130</v>
      </c>
      <c r="D475" s="97" t="s">
        <v>115</v>
      </c>
      <c r="E475" s="14" t="s">
        <v>99</v>
      </c>
      <c r="F475" s="14" t="s">
        <v>50</v>
      </c>
      <c r="G475" s="57">
        <f>G476</f>
        <v>0</v>
      </c>
      <c r="H475" s="116"/>
      <c r="I475" s="117"/>
      <c r="J475" s="116"/>
      <c r="K475" s="80"/>
      <c r="L475" s="79"/>
      <c r="M475" s="79"/>
      <c r="AG475" s="79"/>
      <c r="AH475" s="79"/>
      <c r="DT475" s="99">
        <f t="shared" si="8"/>
        <v>0</v>
      </c>
    </row>
    <row r="476" spans="1:124" ht="56.25" hidden="1" x14ac:dyDescent="0.3">
      <c r="A476" s="143" t="s">
        <v>458</v>
      </c>
      <c r="B476" s="13">
        <v>918</v>
      </c>
      <c r="C476" s="97" t="s">
        <v>130</v>
      </c>
      <c r="D476" s="97" t="s">
        <v>115</v>
      </c>
      <c r="E476" s="14" t="s">
        <v>29</v>
      </c>
      <c r="F476" s="14" t="s">
        <v>50</v>
      </c>
      <c r="G476" s="57">
        <f>G477+G480+G483</f>
        <v>0</v>
      </c>
      <c r="H476" s="116"/>
      <c r="I476" s="117"/>
      <c r="J476" s="116"/>
      <c r="K476" s="80"/>
      <c r="L476" s="79"/>
      <c r="M476" s="79"/>
      <c r="AG476" s="79"/>
      <c r="AH476" s="79"/>
      <c r="DT476" s="99">
        <f t="shared" si="8"/>
        <v>0</v>
      </c>
    </row>
    <row r="477" spans="1:124" ht="75" hidden="1" x14ac:dyDescent="0.3">
      <c r="A477" s="143" t="s">
        <v>249</v>
      </c>
      <c r="B477" s="13">
        <v>918</v>
      </c>
      <c r="C477" s="97" t="s">
        <v>130</v>
      </c>
      <c r="D477" s="97" t="s">
        <v>115</v>
      </c>
      <c r="E477" s="14" t="s">
        <v>254</v>
      </c>
      <c r="F477" s="14" t="s">
        <v>50</v>
      </c>
      <c r="G477" s="57">
        <f>G478</f>
        <v>0</v>
      </c>
      <c r="H477" s="116"/>
      <c r="I477" s="117"/>
      <c r="J477" s="116"/>
      <c r="K477" s="80"/>
      <c r="L477" s="79"/>
      <c r="M477" s="79"/>
      <c r="AG477" s="79"/>
      <c r="AH477" s="79"/>
      <c r="DT477" s="99">
        <f t="shared" si="8"/>
        <v>0</v>
      </c>
    </row>
    <row r="478" spans="1:124" ht="56.25" hidden="1" x14ac:dyDescent="0.3">
      <c r="A478" s="143" t="s">
        <v>253</v>
      </c>
      <c r="B478" s="13">
        <v>918</v>
      </c>
      <c r="C478" s="97" t="s">
        <v>130</v>
      </c>
      <c r="D478" s="97" t="s">
        <v>115</v>
      </c>
      <c r="E478" s="14" t="s">
        <v>255</v>
      </c>
      <c r="F478" s="14" t="s">
        <v>50</v>
      </c>
      <c r="G478" s="57">
        <f>G479</f>
        <v>0</v>
      </c>
      <c r="H478" s="116"/>
      <c r="I478" s="117"/>
      <c r="J478" s="116"/>
      <c r="K478" s="80"/>
      <c r="L478" s="79"/>
      <c r="M478" s="79"/>
      <c r="AG478" s="79"/>
      <c r="AH478" s="79"/>
      <c r="DT478" s="99">
        <f t="shared" si="8"/>
        <v>0</v>
      </c>
    </row>
    <row r="479" spans="1:124" ht="131.25" hidden="1" x14ac:dyDescent="0.3">
      <c r="A479" s="143" t="s">
        <v>552</v>
      </c>
      <c r="B479" s="13">
        <v>918</v>
      </c>
      <c r="C479" s="97" t="s">
        <v>130</v>
      </c>
      <c r="D479" s="97" t="s">
        <v>115</v>
      </c>
      <c r="E479" s="14" t="s">
        <v>551</v>
      </c>
      <c r="F479" s="14" t="s">
        <v>59</v>
      </c>
      <c r="G479" s="57">
        <v>0</v>
      </c>
      <c r="H479" s="116"/>
      <c r="I479" s="117"/>
      <c r="J479" s="116"/>
      <c r="K479" s="80">
        <v>549</v>
      </c>
      <c r="L479" s="79"/>
      <c r="M479" s="79"/>
      <c r="AG479" s="101">
        <v>-77.443669999999997</v>
      </c>
      <c r="AH479" s="79"/>
      <c r="AK479" s="79">
        <v>0</v>
      </c>
      <c r="DT479" s="99">
        <f t="shared" si="8"/>
        <v>0</v>
      </c>
    </row>
    <row r="480" spans="1:124" hidden="1" x14ac:dyDescent="0.3">
      <c r="A480" s="143" t="s">
        <v>62</v>
      </c>
      <c r="B480" s="13">
        <v>918</v>
      </c>
      <c r="C480" s="97" t="s">
        <v>130</v>
      </c>
      <c r="D480" s="97" t="s">
        <v>115</v>
      </c>
      <c r="E480" s="14" t="s">
        <v>251</v>
      </c>
      <c r="F480" s="14" t="s">
        <v>50</v>
      </c>
      <c r="G480" s="57">
        <f>G481</f>
        <v>0</v>
      </c>
      <c r="H480" s="116"/>
      <c r="I480" s="117"/>
      <c r="J480" s="116"/>
      <c r="K480" s="80"/>
      <c r="L480" s="79"/>
      <c r="M480" s="79"/>
      <c r="AG480" s="79"/>
      <c r="AH480" s="79"/>
      <c r="DT480" s="99">
        <f t="shared" si="8"/>
        <v>0</v>
      </c>
    </row>
    <row r="481" spans="1:124" ht="37.5" hidden="1" x14ac:dyDescent="0.3">
      <c r="A481" s="163" t="s">
        <v>64</v>
      </c>
      <c r="B481" s="13">
        <v>918</v>
      </c>
      <c r="C481" s="97" t="s">
        <v>130</v>
      </c>
      <c r="D481" s="97" t="s">
        <v>115</v>
      </c>
      <c r="E481" s="14" t="s">
        <v>252</v>
      </c>
      <c r="F481" s="14" t="s">
        <v>50</v>
      </c>
      <c r="G481" s="57">
        <f>G482</f>
        <v>0</v>
      </c>
      <c r="H481" s="116"/>
      <c r="I481" s="117"/>
      <c r="J481" s="116"/>
      <c r="K481" s="80"/>
      <c r="L481" s="79"/>
      <c r="M481" s="79"/>
      <c r="AG481" s="79"/>
      <c r="AH481" s="79"/>
      <c r="DT481" s="99">
        <f t="shared" si="8"/>
        <v>0</v>
      </c>
    </row>
    <row r="482" spans="1:124" ht="93.75" hidden="1" x14ac:dyDescent="0.3">
      <c r="A482" s="143" t="s">
        <v>553</v>
      </c>
      <c r="B482" s="13">
        <v>918</v>
      </c>
      <c r="C482" s="97" t="s">
        <v>130</v>
      </c>
      <c r="D482" s="97" t="s">
        <v>115</v>
      </c>
      <c r="E482" s="14" t="s">
        <v>550</v>
      </c>
      <c r="F482" s="14" t="s">
        <v>59</v>
      </c>
      <c r="G482" s="57">
        <v>0</v>
      </c>
      <c r="H482" s="116"/>
      <c r="I482" s="117"/>
      <c r="J482" s="116"/>
      <c r="K482" s="80"/>
      <c r="L482" s="79"/>
      <c r="M482" s="79">
        <v>111</v>
      </c>
      <c r="AG482" s="79"/>
      <c r="AH482" s="79"/>
      <c r="AK482" s="79">
        <v>0</v>
      </c>
      <c r="DT482" s="99">
        <f t="shared" si="8"/>
        <v>0</v>
      </c>
    </row>
    <row r="483" spans="1:124" ht="56.25" hidden="1" x14ac:dyDescent="0.3">
      <c r="A483" s="143" t="s">
        <v>253</v>
      </c>
      <c r="B483" s="13">
        <v>918</v>
      </c>
      <c r="C483" s="97" t="s">
        <v>130</v>
      </c>
      <c r="D483" s="97" t="s">
        <v>115</v>
      </c>
      <c r="E483" s="14" t="s">
        <v>256</v>
      </c>
      <c r="F483" s="14" t="s">
        <v>50</v>
      </c>
      <c r="G483" s="57">
        <f>G484</f>
        <v>0</v>
      </c>
      <c r="H483" s="116"/>
      <c r="I483" s="117"/>
      <c r="J483" s="116"/>
      <c r="K483" s="80"/>
      <c r="L483" s="79"/>
      <c r="M483" s="79"/>
      <c r="AG483" s="79"/>
      <c r="AH483" s="79"/>
      <c r="DT483" s="99">
        <f t="shared" si="8"/>
        <v>0</v>
      </c>
    </row>
    <row r="484" spans="1:124" ht="120" hidden="1" customHeight="1" outlineLevel="1" x14ac:dyDescent="0.3">
      <c r="A484" s="143" t="s">
        <v>552</v>
      </c>
      <c r="B484" s="13">
        <v>918</v>
      </c>
      <c r="C484" s="97" t="s">
        <v>130</v>
      </c>
      <c r="D484" s="97" t="s">
        <v>115</v>
      </c>
      <c r="E484" s="14" t="s">
        <v>543</v>
      </c>
      <c r="F484" s="14" t="s">
        <v>59</v>
      </c>
      <c r="G484" s="57">
        <v>0</v>
      </c>
      <c r="H484" s="116"/>
      <c r="I484" s="117"/>
      <c r="J484" s="116"/>
      <c r="K484" s="80"/>
      <c r="L484" s="79"/>
      <c r="M484" s="79">
        <v>75.554000000000002</v>
      </c>
      <c r="AG484" s="79"/>
      <c r="AH484" s="79"/>
      <c r="AK484" s="79">
        <v>0</v>
      </c>
      <c r="DT484" s="99">
        <f t="shared" si="8"/>
        <v>0</v>
      </c>
    </row>
    <row r="485" spans="1:124" hidden="1" outlineLevel="1" x14ac:dyDescent="0.3">
      <c r="A485" s="155" t="s">
        <v>171</v>
      </c>
      <c r="B485" s="12">
        <v>918</v>
      </c>
      <c r="C485" s="19" t="s">
        <v>169</v>
      </c>
      <c r="D485" s="19" t="s">
        <v>121</v>
      </c>
      <c r="E485" s="12" t="s">
        <v>49</v>
      </c>
      <c r="F485" s="9" t="s">
        <v>50</v>
      </c>
      <c r="G485" s="68">
        <f t="shared" ref="G485:G489" si="9">G486</f>
        <v>0</v>
      </c>
      <c r="H485" s="116"/>
      <c r="I485" s="117"/>
      <c r="J485" s="116"/>
      <c r="K485" s="80"/>
      <c r="L485" s="79"/>
      <c r="M485" s="79"/>
      <c r="AG485" s="79"/>
      <c r="AH485" s="79"/>
      <c r="DT485" s="99">
        <f t="shared" si="8"/>
        <v>0</v>
      </c>
    </row>
    <row r="486" spans="1:124" ht="40.5" hidden="1" customHeight="1" outlineLevel="1" x14ac:dyDescent="0.3">
      <c r="A486" s="156" t="s">
        <v>158</v>
      </c>
      <c r="B486" s="13">
        <v>918</v>
      </c>
      <c r="C486" s="6" t="s">
        <v>169</v>
      </c>
      <c r="D486" s="6" t="s">
        <v>121</v>
      </c>
      <c r="E486" s="14" t="s">
        <v>85</v>
      </c>
      <c r="F486" s="14" t="s">
        <v>50</v>
      </c>
      <c r="G486" s="57">
        <f t="shared" si="9"/>
        <v>0</v>
      </c>
      <c r="H486" s="116"/>
      <c r="I486" s="117"/>
      <c r="J486" s="116"/>
      <c r="K486" s="80"/>
      <c r="L486" s="79"/>
      <c r="M486" s="79"/>
      <c r="AG486" s="79"/>
      <c r="AH486" s="79"/>
      <c r="DT486" s="99">
        <f t="shared" si="8"/>
        <v>0</v>
      </c>
    </row>
    <row r="487" spans="1:124" ht="59.25" hidden="1" customHeight="1" outlineLevel="1" x14ac:dyDescent="0.3">
      <c r="A487" s="156" t="s">
        <v>143</v>
      </c>
      <c r="B487" s="13">
        <v>918</v>
      </c>
      <c r="C487" s="6" t="s">
        <v>169</v>
      </c>
      <c r="D487" s="6" t="s">
        <v>121</v>
      </c>
      <c r="E487" s="14" t="s">
        <v>87</v>
      </c>
      <c r="F487" s="14" t="s">
        <v>50</v>
      </c>
      <c r="G487" s="57">
        <f t="shared" si="9"/>
        <v>0</v>
      </c>
      <c r="H487" s="116"/>
      <c r="I487" s="117"/>
      <c r="J487" s="116"/>
      <c r="K487" s="80"/>
      <c r="L487" s="79"/>
      <c r="M487" s="79"/>
      <c r="AG487" s="79"/>
      <c r="AH487" s="79"/>
      <c r="DT487" s="99">
        <f t="shared" si="8"/>
        <v>0</v>
      </c>
    </row>
    <row r="488" spans="1:124" ht="37.5" hidden="1" outlineLevel="1" x14ac:dyDescent="0.3">
      <c r="A488" s="143" t="s">
        <v>52</v>
      </c>
      <c r="B488" s="13">
        <v>918</v>
      </c>
      <c r="C488" s="6" t="s">
        <v>169</v>
      </c>
      <c r="D488" s="6" t="s">
        <v>121</v>
      </c>
      <c r="E488" s="14" t="s">
        <v>196</v>
      </c>
      <c r="F488" s="14" t="s">
        <v>50</v>
      </c>
      <c r="G488" s="57">
        <f t="shared" si="9"/>
        <v>0</v>
      </c>
      <c r="H488" s="116"/>
      <c r="I488" s="117"/>
      <c r="J488" s="116"/>
      <c r="K488" s="80"/>
      <c r="L488" s="79"/>
      <c r="M488" s="79"/>
      <c r="AG488" s="79"/>
      <c r="AH488" s="79"/>
      <c r="DT488" s="99">
        <f t="shared" si="8"/>
        <v>0</v>
      </c>
    </row>
    <row r="489" spans="1:124" hidden="1" outlineLevel="1" x14ac:dyDescent="0.3">
      <c r="A489" s="143" t="s">
        <v>195</v>
      </c>
      <c r="B489" s="13">
        <v>918</v>
      </c>
      <c r="C489" s="6" t="s">
        <v>169</v>
      </c>
      <c r="D489" s="6" t="s">
        <v>121</v>
      </c>
      <c r="E489" s="14" t="s">
        <v>197</v>
      </c>
      <c r="F489" s="14" t="s">
        <v>50</v>
      </c>
      <c r="G489" s="57">
        <f t="shared" si="9"/>
        <v>0</v>
      </c>
      <c r="H489" s="116"/>
      <c r="I489" s="117"/>
      <c r="J489" s="116"/>
      <c r="K489" s="80"/>
      <c r="L489" s="79"/>
      <c r="M489" s="79"/>
      <c r="AG489" s="79"/>
      <c r="AH489" s="79"/>
      <c r="DT489" s="99">
        <f t="shared" si="8"/>
        <v>0</v>
      </c>
    </row>
    <row r="490" spans="1:124" ht="93.75" hidden="1" outlineLevel="1" x14ac:dyDescent="0.3">
      <c r="A490" s="143" t="s">
        <v>56</v>
      </c>
      <c r="B490" s="13">
        <v>918</v>
      </c>
      <c r="C490" s="6" t="s">
        <v>169</v>
      </c>
      <c r="D490" s="6" t="s">
        <v>121</v>
      </c>
      <c r="E490" s="14" t="s">
        <v>197</v>
      </c>
      <c r="F490" s="14" t="s">
        <v>57</v>
      </c>
      <c r="G490" s="57">
        <f>0.7-0.7</f>
        <v>0</v>
      </c>
      <c r="H490" s="116"/>
      <c r="I490" s="117"/>
      <c r="J490" s="116"/>
      <c r="K490" s="80"/>
      <c r="L490" s="79"/>
      <c r="M490" s="79"/>
      <c r="AG490" s="79"/>
      <c r="AH490" s="79"/>
      <c r="DT490" s="99">
        <f t="shared" si="8"/>
        <v>0</v>
      </c>
    </row>
    <row r="491" spans="1:124" hidden="1" outlineLevel="1" x14ac:dyDescent="0.3">
      <c r="A491" s="143" t="s">
        <v>409</v>
      </c>
      <c r="B491" s="49">
        <v>918</v>
      </c>
      <c r="C491" s="6" t="s">
        <v>130</v>
      </c>
      <c r="D491" s="6" t="s">
        <v>115</v>
      </c>
      <c r="E491" s="14" t="s">
        <v>90</v>
      </c>
      <c r="F491" s="14" t="s">
        <v>50</v>
      </c>
      <c r="G491" s="57">
        <f>G492</f>
        <v>0</v>
      </c>
      <c r="H491" s="116"/>
      <c r="I491" s="117"/>
      <c r="J491" s="116"/>
      <c r="K491" s="80"/>
      <c r="L491" s="79"/>
      <c r="M491" s="79"/>
      <c r="AG491" s="79"/>
      <c r="AH491" s="79"/>
      <c r="DT491" s="99">
        <f t="shared" si="8"/>
        <v>0</v>
      </c>
    </row>
    <row r="492" spans="1:124" ht="37.5" hidden="1" outlineLevel="1" x14ac:dyDescent="0.3">
      <c r="A492" s="143" t="s">
        <v>919</v>
      </c>
      <c r="B492" s="49">
        <v>918</v>
      </c>
      <c r="C492" s="6" t="s">
        <v>130</v>
      </c>
      <c r="D492" s="6" t="s">
        <v>115</v>
      </c>
      <c r="E492" s="14" t="s">
        <v>918</v>
      </c>
      <c r="F492" s="14" t="s">
        <v>50</v>
      </c>
      <c r="G492" s="57">
        <f>G493</f>
        <v>0</v>
      </c>
      <c r="H492" s="116"/>
      <c r="I492" s="117"/>
      <c r="J492" s="116"/>
      <c r="K492" s="80"/>
      <c r="L492" s="79"/>
      <c r="M492" s="79"/>
      <c r="AG492" s="79"/>
      <c r="AH492" s="79"/>
      <c r="DT492" s="99">
        <f t="shared" si="8"/>
        <v>0</v>
      </c>
    </row>
    <row r="493" spans="1:124" ht="37.5" hidden="1" outlineLevel="1" x14ac:dyDescent="0.3">
      <c r="A493" s="143" t="s">
        <v>425</v>
      </c>
      <c r="B493" s="49">
        <v>918</v>
      </c>
      <c r="C493" s="6" t="s">
        <v>130</v>
      </c>
      <c r="D493" s="6" t="s">
        <v>115</v>
      </c>
      <c r="E493" s="14" t="s">
        <v>918</v>
      </c>
      <c r="F493" s="14" t="s">
        <v>59</v>
      </c>
      <c r="G493" s="57">
        <v>0</v>
      </c>
      <c r="H493" s="116"/>
      <c r="I493" s="117"/>
      <c r="J493" s="116"/>
      <c r="K493" s="80"/>
      <c r="L493" s="79"/>
      <c r="M493" s="79"/>
      <c r="AG493" s="79"/>
      <c r="AH493" s="79"/>
      <c r="CG493" s="194">
        <v>83.1</v>
      </c>
      <c r="DT493" s="99">
        <f t="shared" si="8"/>
        <v>0</v>
      </c>
    </row>
    <row r="494" spans="1:124" ht="56.25" collapsed="1" x14ac:dyDescent="0.3">
      <c r="A494" s="206" t="s">
        <v>349</v>
      </c>
      <c r="B494" s="10">
        <v>936</v>
      </c>
      <c r="C494" s="11" t="s">
        <v>112</v>
      </c>
      <c r="D494" s="11" t="s">
        <v>112</v>
      </c>
      <c r="E494" s="11" t="s">
        <v>49</v>
      </c>
      <c r="F494" s="11" t="s">
        <v>50</v>
      </c>
      <c r="G494" s="71">
        <f>G495+G623+G695+G904+G1137+G1154+G1284+G1418+G1507+G1385+G1577</f>
        <v>685341.12</v>
      </c>
      <c r="H494" s="116"/>
      <c r="I494" s="117"/>
      <c r="J494" s="116"/>
      <c r="K494" s="80"/>
      <c r="L494" s="79"/>
      <c r="M494" s="79"/>
      <c r="AG494" s="79"/>
      <c r="AH494" s="79"/>
      <c r="DT494" s="99">
        <f t="shared" si="8"/>
        <v>0</v>
      </c>
    </row>
    <row r="495" spans="1:124" x14ac:dyDescent="0.3">
      <c r="A495" s="205" t="s">
        <v>114</v>
      </c>
      <c r="B495" s="12">
        <v>936</v>
      </c>
      <c r="C495" s="9" t="s">
        <v>115</v>
      </c>
      <c r="D495" s="9" t="s">
        <v>112</v>
      </c>
      <c r="E495" s="9" t="s">
        <v>49</v>
      </c>
      <c r="F495" s="9" t="s">
        <v>50</v>
      </c>
      <c r="G495" s="68">
        <f>G496+G506+G537+G549+G542</f>
        <v>66437.200000000012</v>
      </c>
      <c r="H495" s="116"/>
      <c r="I495" s="117"/>
      <c r="J495" s="116"/>
      <c r="K495" s="80"/>
      <c r="L495" s="79"/>
      <c r="M495" s="79"/>
      <c r="AG495" s="79"/>
      <c r="AH495" s="79"/>
      <c r="DT495" s="99">
        <f t="shared" si="8"/>
        <v>0</v>
      </c>
    </row>
    <row r="496" spans="1:124" ht="60" customHeight="1" x14ac:dyDescent="0.3">
      <c r="A496" s="205" t="s">
        <v>201</v>
      </c>
      <c r="B496" s="12">
        <v>936</v>
      </c>
      <c r="C496" s="9" t="s">
        <v>115</v>
      </c>
      <c r="D496" s="9" t="s">
        <v>116</v>
      </c>
      <c r="E496" s="9" t="s">
        <v>49</v>
      </c>
      <c r="F496" s="9" t="s">
        <v>50</v>
      </c>
      <c r="G496" s="68">
        <f>G497</f>
        <v>2351.4</v>
      </c>
      <c r="H496" s="116"/>
      <c r="I496" s="117"/>
      <c r="J496" s="116"/>
      <c r="K496" s="80"/>
      <c r="L496" s="79"/>
      <c r="M496" s="79"/>
      <c r="AG496" s="79"/>
      <c r="AH496" s="79"/>
      <c r="DT496" s="99">
        <f t="shared" si="8"/>
        <v>0</v>
      </c>
    </row>
    <row r="497" spans="1:124" ht="56.25" x14ac:dyDescent="0.3">
      <c r="A497" s="208" t="s">
        <v>16</v>
      </c>
      <c r="B497" s="13">
        <v>936</v>
      </c>
      <c r="C497" s="14" t="s">
        <v>115</v>
      </c>
      <c r="D497" s="14" t="s">
        <v>116</v>
      </c>
      <c r="E497" s="15" t="s">
        <v>202</v>
      </c>
      <c r="F497" s="14" t="s">
        <v>50</v>
      </c>
      <c r="G497" s="57">
        <f>G498+G504</f>
        <v>2351.4</v>
      </c>
      <c r="H497" s="116"/>
      <c r="I497" s="117"/>
      <c r="J497" s="116"/>
      <c r="K497" s="80"/>
      <c r="L497" s="79"/>
      <c r="M497" s="79"/>
      <c r="AG497" s="79"/>
      <c r="AH497" s="79"/>
      <c r="DT497" s="99">
        <f t="shared" si="8"/>
        <v>0</v>
      </c>
    </row>
    <row r="498" spans="1:124" ht="39.75" customHeight="1" x14ac:dyDescent="0.3">
      <c r="A498" s="162" t="s">
        <v>18</v>
      </c>
      <c r="B498" s="13">
        <v>936</v>
      </c>
      <c r="C498" s="14" t="s">
        <v>115</v>
      </c>
      <c r="D498" s="14" t="s">
        <v>116</v>
      </c>
      <c r="E498" s="15" t="s">
        <v>203</v>
      </c>
      <c r="F498" s="14" t="s">
        <v>50</v>
      </c>
      <c r="G498" s="57">
        <f>G499</f>
        <v>2351.4</v>
      </c>
      <c r="H498" s="116"/>
      <c r="I498" s="117"/>
      <c r="J498" s="116"/>
      <c r="K498" s="80"/>
      <c r="L498" s="79"/>
      <c r="M498" s="79"/>
      <c r="AG498" s="79"/>
      <c r="AH498" s="79"/>
      <c r="DT498" s="99">
        <f t="shared" si="8"/>
        <v>0</v>
      </c>
    </row>
    <row r="499" spans="1:124" ht="77.25" customHeight="1" x14ac:dyDescent="0.3">
      <c r="A499" s="143" t="s">
        <v>103</v>
      </c>
      <c r="B499" s="13">
        <v>936</v>
      </c>
      <c r="C499" s="14" t="s">
        <v>115</v>
      </c>
      <c r="D499" s="14" t="s">
        <v>116</v>
      </c>
      <c r="E499" s="15" t="s">
        <v>36</v>
      </c>
      <c r="F499" s="14" t="s">
        <v>50</v>
      </c>
      <c r="G499" s="57">
        <f>G500</f>
        <v>2351.4</v>
      </c>
      <c r="H499" s="116"/>
      <c r="I499" s="117"/>
      <c r="J499" s="116"/>
      <c r="K499" s="80"/>
      <c r="L499" s="79"/>
      <c r="M499" s="79"/>
      <c r="AG499" s="79"/>
      <c r="AH499" s="79"/>
      <c r="DT499" s="99">
        <f t="shared" si="8"/>
        <v>0</v>
      </c>
    </row>
    <row r="500" spans="1:124" x14ac:dyDescent="0.3">
      <c r="A500" s="143" t="s">
        <v>204</v>
      </c>
      <c r="B500" s="13">
        <v>936</v>
      </c>
      <c r="C500" s="14" t="s">
        <v>115</v>
      </c>
      <c r="D500" s="14" t="s">
        <v>116</v>
      </c>
      <c r="E500" s="15" t="s">
        <v>361</v>
      </c>
      <c r="F500" s="14" t="s">
        <v>50</v>
      </c>
      <c r="G500" s="57">
        <f>G501+G502</f>
        <v>2351.4</v>
      </c>
      <c r="H500" s="116"/>
      <c r="I500" s="117"/>
      <c r="J500" s="116"/>
      <c r="K500" s="80"/>
      <c r="L500" s="79"/>
      <c r="M500" s="79"/>
      <c r="AG500" s="79"/>
      <c r="AH500" s="79"/>
      <c r="DT500" s="99">
        <f t="shared" si="8"/>
        <v>0</v>
      </c>
    </row>
    <row r="501" spans="1:124" ht="93.75" x14ac:dyDescent="0.3">
      <c r="A501" s="143" t="s">
        <v>56</v>
      </c>
      <c r="B501" s="13">
        <v>936</v>
      </c>
      <c r="C501" s="14" t="s">
        <v>115</v>
      </c>
      <c r="D501" s="14" t="s">
        <v>116</v>
      </c>
      <c r="E501" s="15" t="s">
        <v>205</v>
      </c>
      <c r="F501" s="15" t="s">
        <v>57</v>
      </c>
      <c r="G501" s="57">
        <f>DT501</f>
        <v>2351.4</v>
      </c>
      <c r="H501" s="125">
        <v>1618.4</v>
      </c>
      <c r="I501" s="126"/>
      <c r="J501" s="125"/>
      <c r="K501" s="80"/>
      <c r="L501" s="79"/>
      <c r="M501" s="79"/>
      <c r="AG501" s="79"/>
      <c r="AH501" s="79"/>
      <c r="AK501" s="79">
        <v>1443.7</v>
      </c>
      <c r="AV501" s="194">
        <f>5.0604+0.9</f>
        <v>5.9603999999999999</v>
      </c>
      <c r="AX501" s="101">
        <v>30.4</v>
      </c>
      <c r="BH501" s="233">
        <v>21.469100000000001</v>
      </c>
      <c r="BM501" s="100">
        <v>1786.1</v>
      </c>
      <c r="CF501" s="194">
        <v>3.7</v>
      </c>
      <c r="CJ501" s="194">
        <v>49</v>
      </c>
      <c r="CP501" s="259">
        <v>212.7</v>
      </c>
      <c r="CS501" s="264">
        <v>1786.1</v>
      </c>
      <c r="CX501" s="270">
        <v>12.8</v>
      </c>
      <c r="CY501" s="194">
        <v>86</v>
      </c>
      <c r="DF501" s="194">
        <v>9</v>
      </c>
      <c r="DO501" s="274">
        <v>2351.4</v>
      </c>
      <c r="DT501" s="99">
        <f t="shared" si="8"/>
        <v>2351.4</v>
      </c>
    </row>
    <row r="502" spans="1:124" ht="37.5" hidden="1" x14ac:dyDescent="0.3">
      <c r="A502" s="162" t="s">
        <v>374</v>
      </c>
      <c r="B502" s="13">
        <v>936</v>
      </c>
      <c r="C502" s="14" t="s">
        <v>115</v>
      </c>
      <c r="D502" s="14" t="s">
        <v>116</v>
      </c>
      <c r="E502" s="15" t="s">
        <v>514</v>
      </c>
      <c r="F502" s="15" t="s">
        <v>50</v>
      </c>
      <c r="G502" s="57">
        <f>G503</f>
        <v>0</v>
      </c>
      <c r="H502" s="116"/>
      <c r="I502" s="117"/>
      <c r="J502" s="116"/>
      <c r="K502" s="80"/>
      <c r="L502" s="79"/>
      <c r="M502" s="79"/>
      <c r="AG502" s="79"/>
      <c r="AH502" s="79"/>
      <c r="DT502" s="99">
        <f t="shared" si="8"/>
        <v>0</v>
      </c>
    </row>
    <row r="503" spans="1:124" ht="93.75" hidden="1" x14ac:dyDescent="0.3">
      <c r="A503" s="143" t="s">
        <v>56</v>
      </c>
      <c r="B503" s="13">
        <v>936</v>
      </c>
      <c r="C503" s="14" t="s">
        <v>115</v>
      </c>
      <c r="D503" s="14" t="s">
        <v>116</v>
      </c>
      <c r="E503" s="15" t="s">
        <v>514</v>
      </c>
      <c r="F503" s="15" t="s">
        <v>57</v>
      </c>
      <c r="G503" s="57">
        <v>0</v>
      </c>
      <c r="H503" s="116"/>
      <c r="I503" s="117"/>
      <c r="J503" s="116"/>
      <c r="K503" s="80"/>
      <c r="L503" s="79"/>
      <c r="M503" s="79"/>
      <c r="AG503" s="79">
        <v>95.8</v>
      </c>
      <c r="AH503" s="79"/>
      <c r="AK503" s="79">
        <v>0</v>
      </c>
      <c r="BK503" s="226">
        <v>157</v>
      </c>
      <c r="DI503" s="270">
        <v>760</v>
      </c>
      <c r="DT503" s="99">
        <f t="shared" si="8"/>
        <v>0</v>
      </c>
    </row>
    <row r="504" spans="1:124" ht="56.25" hidden="1" x14ac:dyDescent="0.3">
      <c r="A504" s="143" t="s">
        <v>928</v>
      </c>
      <c r="B504" s="13">
        <v>936</v>
      </c>
      <c r="C504" s="14" t="s">
        <v>115</v>
      </c>
      <c r="D504" s="14" t="s">
        <v>116</v>
      </c>
      <c r="E504" s="14" t="s">
        <v>929</v>
      </c>
      <c r="F504" s="20" t="s">
        <v>50</v>
      </c>
      <c r="G504" s="57">
        <f>G505</f>
        <v>0</v>
      </c>
      <c r="H504" s="116"/>
      <c r="I504" s="117"/>
      <c r="J504" s="116"/>
      <c r="K504" s="80"/>
      <c r="L504" s="79"/>
      <c r="M504" s="79"/>
      <c r="AG504" s="79"/>
      <c r="AH504" s="79"/>
      <c r="DT504" s="99">
        <f t="shared" si="8"/>
        <v>0</v>
      </c>
    </row>
    <row r="505" spans="1:124" ht="93.75" hidden="1" x14ac:dyDescent="0.3">
      <c r="A505" s="143" t="s">
        <v>56</v>
      </c>
      <c r="B505" s="13">
        <v>936</v>
      </c>
      <c r="C505" s="14" t="s">
        <v>115</v>
      </c>
      <c r="D505" s="14" t="s">
        <v>116</v>
      </c>
      <c r="E505" s="14" t="s">
        <v>929</v>
      </c>
      <c r="F505" s="14" t="s">
        <v>57</v>
      </c>
      <c r="G505" s="57">
        <v>0</v>
      </c>
      <c r="H505" s="116"/>
      <c r="I505" s="117"/>
      <c r="J505" s="116"/>
      <c r="K505" s="80"/>
      <c r="L505" s="79"/>
      <c r="M505" s="79"/>
      <c r="AG505" s="79"/>
      <c r="AH505" s="79"/>
      <c r="DK505" s="270">
        <v>165</v>
      </c>
      <c r="DT505" s="99">
        <f t="shared" si="8"/>
        <v>0</v>
      </c>
    </row>
    <row r="506" spans="1:124" ht="75" x14ac:dyDescent="0.3">
      <c r="A506" s="205" t="s">
        <v>120</v>
      </c>
      <c r="B506" s="12">
        <v>936</v>
      </c>
      <c r="C506" s="9" t="s">
        <v>115</v>
      </c>
      <c r="D506" s="9" t="s">
        <v>121</v>
      </c>
      <c r="E506" s="9" t="s">
        <v>49</v>
      </c>
      <c r="F506" s="9" t="s">
        <v>50</v>
      </c>
      <c r="G506" s="68">
        <f>G507+G521</f>
        <v>42660.3</v>
      </c>
      <c r="H506" s="116"/>
      <c r="I506" s="117"/>
      <c r="J506" s="116"/>
      <c r="K506" s="80"/>
      <c r="L506" s="79"/>
      <c r="M506" s="79"/>
      <c r="AG506" s="79"/>
      <c r="AH506" s="79"/>
      <c r="DT506" s="99">
        <f t="shared" si="8"/>
        <v>0</v>
      </c>
    </row>
    <row r="507" spans="1:124" ht="56.25" x14ac:dyDescent="0.3">
      <c r="A507" s="156" t="s">
        <v>0</v>
      </c>
      <c r="B507" s="13">
        <v>936</v>
      </c>
      <c r="C507" s="14" t="s">
        <v>115</v>
      </c>
      <c r="D507" s="14" t="s">
        <v>121</v>
      </c>
      <c r="E507" s="15" t="s">
        <v>92</v>
      </c>
      <c r="F507" s="14" t="s">
        <v>50</v>
      </c>
      <c r="G507" s="57">
        <f>G508+G516</f>
        <v>4781</v>
      </c>
      <c r="H507" s="116"/>
      <c r="I507" s="117"/>
      <c r="J507" s="116"/>
      <c r="K507" s="80"/>
      <c r="L507" s="79"/>
      <c r="M507" s="79"/>
      <c r="AG507" s="79"/>
      <c r="AH507" s="79"/>
      <c r="DT507" s="99">
        <f t="shared" si="8"/>
        <v>0</v>
      </c>
    </row>
    <row r="508" spans="1:124" ht="44.25" customHeight="1" x14ac:dyDescent="0.3">
      <c r="A508" s="156" t="s">
        <v>1</v>
      </c>
      <c r="B508" s="13">
        <v>936</v>
      </c>
      <c r="C508" s="14" t="s">
        <v>115</v>
      </c>
      <c r="D508" s="14" t="s">
        <v>121</v>
      </c>
      <c r="E508" s="15" t="s">
        <v>93</v>
      </c>
      <c r="F508" s="14" t="s">
        <v>50</v>
      </c>
      <c r="G508" s="57">
        <f>G509</f>
        <v>1723</v>
      </c>
      <c r="H508" s="116"/>
      <c r="I508" s="117"/>
      <c r="J508" s="116"/>
      <c r="K508" s="80"/>
      <c r="L508" s="79"/>
      <c r="M508" s="79"/>
      <c r="AG508" s="79"/>
      <c r="AH508" s="79"/>
      <c r="DT508" s="99">
        <f t="shared" si="8"/>
        <v>0</v>
      </c>
    </row>
    <row r="509" spans="1:124" ht="75" x14ac:dyDescent="0.3">
      <c r="A509" s="143" t="s">
        <v>173</v>
      </c>
      <c r="B509" s="13">
        <v>936</v>
      </c>
      <c r="C509" s="14" t="s">
        <v>115</v>
      </c>
      <c r="D509" s="14" t="s">
        <v>121</v>
      </c>
      <c r="E509" s="14" t="s">
        <v>843</v>
      </c>
      <c r="F509" s="14" t="s">
        <v>50</v>
      </c>
      <c r="G509" s="57">
        <f>G510+G513</f>
        <v>1723</v>
      </c>
      <c r="H509" s="116"/>
      <c r="I509" s="117"/>
      <c r="J509" s="116"/>
      <c r="K509" s="80"/>
      <c r="L509" s="79"/>
      <c r="M509" s="79"/>
      <c r="AG509" s="79"/>
      <c r="AH509" s="79"/>
      <c r="DT509" s="99">
        <f t="shared" si="8"/>
        <v>0</v>
      </c>
    </row>
    <row r="510" spans="1:124" ht="37.5" hidden="1" outlineLevel="1" x14ac:dyDescent="0.3">
      <c r="A510" s="143" t="s">
        <v>206</v>
      </c>
      <c r="B510" s="13">
        <v>936</v>
      </c>
      <c r="C510" s="14" t="s">
        <v>115</v>
      </c>
      <c r="D510" s="14" t="s">
        <v>121</v>
      </c>
      <c r="E510" s="14" t="s">
        <v>207</v>
      </c>
      <c r="F510" s="14" t="s">
        <v>50</v>
      </c>
      <c r="G510" s="57">
        <f>G511+G512</f>
        <v>0</v>
      </c>
      <c r="H510" s="116"/>
      <c r="I510" s="117"/>
      <c r="J510" s="116"/>
      <c r="K510" s="80"/>
      <c r="L510" s="79"/>
      <c r="M510" s="79"/>
      <c r="AG510" s="79"/>
      <c r="AH510" s="79"/>
      <c r="DT510" s="99">
        <f t="shared" si="8"/>
        <v>0</v>
      </c>
    </row>
    <row r="511" spans="1:124" ht="93.75" hidden="1" outlineLevel="1" x14ac:dyDescent="0.3">
      <c r="A511" s="143" t="s">
        <v>56</v>
      </c>
      <c r="B511" s="13">
        <v>936</v>
      </c>
      <c r="C511" s="14" t="s">
        <v>115</v>
      </c>
      <c r="D511" s="14" t="s">
        <v>121</v>
      </c>
      <c r="E511" s="14" t="s">
        <v>207</v>
      </c>
      <c r="F511" s="14" t="s">
        <v>57</v>
      </c>
      <c r="G511" s="72"/>
      <c r="H511" s="116"/>
      <c r="I511" s="117"/>
      <c r="J511" s="116"/>
      <c r="K511" s="80"/>
      <c r="L511" s="79"/>
      <c r="M511" s="79"/>
      <c r="AG511" s="79"/>
      <c r="AH511" s="79"/>
      <c r="DT511" s="99">
        <f t="shared" si="8"/>
        <v>0</v>
      </c>
    </row>
    <row r="512" spans="1:124" ht="37.5" hidden="1" outlineLevel="1" x14ac:dyDescent="0.3">
      <c r="A512" s="143" t="s">
        <v>58</v>
      </c>
      <c r="B512" s="13">
        <v>936</v>
      </c>
      <c r="C512" s="14" t="s">
        <v>115</v>
      </c>
      <c r="D512" s="14" t="s">
        <v>121</v>
      </c>
      <c r="E512" s="14" t="s">
        <v>207</v>
      </c>
      <c r="F512" s="14" t="s">
        <v>59</v>
      </c>
      <c r="G512" s="72"/>
      <c r="H512" s="116"/>
      <c r="I512" s="117"/>
      <c r="J512" s="116"/>
      <c r="K512" s="80"/>
      <c r="L512" s="79"/>
      <c r="M512" s="79"/>
      <c r="AG512" s="79"/>
      <c r="AH512" s="79"/>
      <c r="DT512" s="99">
        <f t="shared" si="8"/>
        <v>0</v>
      </c>
    </row>
    <row r="513" spans="1:124" ht="123" customHeight="1" collapsed="1" x14ac:dyDescent="0.3">
      <c r="A513" s="143" t="s">
        <v>532</v>
      </c>
      <c r="B513" s="13">
        <v>936</v>
      </c>
      <c r="C513" s="14" t="s">
        <v>115</v>
      </c>
      <c r="D513" s="14" t="s">
        <v>121</v>
      </c>
      <c r="E513" s="113" t="s">
        <v>1164</v>
      </c>
      <c r="F513" s="14" t="s">
        <v>50</v>
      </c>
      <c r="G513" s="57">
        <f>G514+G515</f>
        <v>1723</v>
      </c>
      <c r="H513" s="116"/>
      <c r="I513" s="117"/>
      <c r="J513" s="116"/>
      <c r="K513" s="80"/>
      <c r="L513" s="79"/>
      <c r="M513" s="79"/>
      <c r="AG513" s="79"/>
      <c r="AH513" s="79"/>
      <c r="DT513" s="99">
        <f t="shared" si="8"/>
        <v>0</v>
      </c>
    </row>
    <row r="514" spans="1:124" ht="93.75" x14ac:dyDescent="0.3">
      <c r="A514" s="143" t="s">
        <v>56</v>
      </c>
      <c r="B514" s="13">
        <v>936</v>
      </c>
      <c r="C514" s="14" t="s">
        <v>115</v>
      </c>
      <c r="D514" s="14" t="s">
        <v>121</v>
      </c>
      <c r="E514" s="113" t="s">
        <v>1164</v>
      </c>
      <c r="F514" s="14" t="s">
        <v>57</v>
      </c>
      <c r="G514" s="57">
        <f>DT514-44</f>
        <v>1679</v>
      </c>
      <c r="H514" s="116"/>
      <c r="I514" s="117">
        <v>1070.4000000000001</v>
      </c>
      <c r="J514" s="116"/>
      <c r="K514" s="80"/>
      <c r="L514" s="79"/>
      <c r="M514" s="79"/>
      <c r="AG514" s="79">
        <v>41.3</v>
      </c>
      <c r="AH514" s="79"/>
      <c r="AK514" s="79">
        <v>942.2</v>
      </c>
      <c r="BK514" s="226">
        <v>26.8</v>
      </c>
      <c r="BO514" s="238">
        <v>1176</v>
      </c>
      <c r="CQ514" s="99">
        <v>1176</v>
      </c>
      <c r="DI514" s="270">
        <v>150</v>
      </c>
      <c r="DL514" s="270">
        <v>71</v>
      </c>
      <c r="DN514" s="274">
        <v>1723</v>
      </c>
      <c r="DT514" s="99">
        <f t="shared" si="8"/>
        <v>1723</v>
      </c>
    </row>
    <row r="515" spans="1:124" ht="37.5" x14ac:dyDescent="0.3">
      <c r="A515" s="143" t="s">
        <v>425</v>
      </c>
      <c r="B515" s="13">
        <v>936</v>
      </c>
      <c r="C515" s="14" t="s">
        <v>115</v>
      </c>
      <c r="D515" s="14" t="s">
        <v>121</v>
      </c>
      <c r="E515" s="113" t="s">
        <v>1164</v>
      </c>
      <c r="F515" s="14" t="s">
        <v>59</v>
      </c>
      <c r="G515" s="57">
        <v>44</v>
      </c>
      <c r="H515" s="125"/>
      <c r="I515" s="126">
        <v>69.599999999999994</v>
      </c>
      <c r="J515" s="125"/>
      <c r="K515" s="80"/>
      <c r="L515" s="79"/>
      <c r="M515" s="79"/>
      <c r="AG515" s="79"/>
      <c r="AH515" s="79"/>
      <c r="AK515" s="79">
        <v>72.8</v>
      </c>
      <c r="BO515" s="238">
        <v>66</v>
      </c>
      <c r="CQ515" s="99">
        <v>76</v>
      </c>
      <c r="DL515" s="270">
        <v>-71</v>
      </c>
      <c r="DT515" s="99">
        <f t="shared" si="8"/>
        <v>0</v>
      </c>
    </row>
    <row r="516" spans="1:124" ht="59.25" customHeight="1" x14ac:dyDescent="0.3">
      <c r="A516" s="156" t="s">
        <v>3</v>
      </c>
      <c r="B516" s="13">
        <v>936</v>
      </c>
      <c r="C516" s="14" t="s">
        <v>115</v>
      </c>
      <c r="D516" s="14" t="s">
        <v>121</v>
      </c>
      <c r="E516" s="14" t="s">
        <v>94</v>
      </c>
      <c r="F516" s="14" t="s">
        <v>50</v>
      </c>
      <c r="G516" s="57">
        <f>G517</f>
        <v>3058</v>
      </c>
      <c r="H516" s="116"/>
      <c r="I516" s="117"/>
      <c r="J516" s="116"/>
      <c r="K516" s="80"/>
      <c r="L516" s="79"/>
      <c r="M516" s="79"/>
      <c r="AG516" s="79"/>
      <c r="AH516" s="79"/>
      <c r="DT516" s="99">
        <f t="shared" si="8"/>
        <v>0</v>
      </c>
    </row>
    <row r="517" spans="1:124" ht="75" hidden="1" x14ac:dyDescent="0.3">
      <c r="A517" s="143" t="s">
        <v>173</v>
      </c>
      <c r="B517" s="13">
        <v>936</v>
      </c>
      <c r="C517" s="14" t="s">
        <v>115</v>
      </c>
      <c r="D517" s="14" t="s">
        <v>121</v>
      </c>
      <c r="E517" s="14" t="s">
        <v>843</v>
      </c>
      <c r="F517" s="14" t="s">
        <v>50</v>
      </c>
      <c r="G517" s="57">
        <f>G518</f>
        <v>3058</v>
      </c>
      <c r="H517" s="116"/>
      <c r="I517" s="117"/>
      <c r="J517" s="116"/>
      <c r="K517" s="80"/>
      <c r="L517" s="79"/>
      <c r="M517" s="79"/>
      <c r="AG517" s="79"/>
      <c r="AH517" s="79"/>
      <c r="DT517" s="99">
        <f t="shared" si="8"/>
        <v>0</v>
      </c>
    </row>
    <row r="518" spans="1:124" ht="37.5" x14ac:dyDescent="0.3">
      <c r="A518" s="143" t="s">
        <v>206</v>
      </c>
      <c r="B518" s="13">
        <v>936</v>
      </c>
      <c r="C518" s="14" t="s">
        <v>115</v>
      </c>
      <c r="D518" s="14" t="s">
        <v>121</v>
      </c>
      <c r="E518" s="113" t="s">
        <v>1159</v>
      </c>
      <c r="F518" s="14" t="s">
        <v>50</v>
      </c>
      <c r="G518" s="57">
        <f>G519+G520</f>
        <v>3058</v>
      </c>
      <c r="H518" s="116"/>
      <c r="I518" s="117"/>
      <c r="J518" s="116"/>
      <c r="K518" s="80"/>
      <c r="L518" s="79"/>
      <c r="M518" s="79"/>
      <c r="AG518" s="79"/>
      <c r="AH518" s="79"/>
      <c r="DT518" s="99">
        <f t="shared" si="8"/>
        <v>0</v>
      </c>
    </row>
    <row r="519" spans="1:124" ht="93.75" x14ac:dyDescent="0.3">
      <c r="A519" s="143" t="s">
        <v>56</v>
      </c>
      <c r="B519" s="13">
        <v>936</v>
      </c>
      <c r="C519" s="14" t="s">
        <v>115</v>
      </c>
      <c r="D519" s="14" t="s">
        <v>121</v>
      </c>
      <c r="E519" s="113" t="s">
        <v>1159</v>
      </c>
      <c r="F519" s="14" t="s">
        <v>57</v>
      </c>
      <c r="G519" s="72">
        <f>DT519</f>
        <v>3015.2</v>
      </c>
      <c r="H519" s="116"/>
      <c r="I519" s="117">
        <v>2476.1999999999998</v>
      </c>
      <c r="J519" s="116"/>
      <c r="K519" s="80"/>
      <c r="L519" s="79"/>
      <c r="M519" s="79"/>
      <c r="AG519" s="79">
        <v>103.3</v>
      </c>
      <c r="AH519" s="79"/>
      <c r="AK519" s="79">
        <v>2459.1</v>
      </c>
      <c r="BK519" s="226">
        <v>61.9</v>
      </c>
      <c r="BL519" s="194">
        <v>49.555</v>
      </c>
      <c r="BO519" s="238">
        <v>2484.9</v>
      </c>
      <c r="CQ519" s="99">
        <v>2190</v>
      </c>
      <c r="DI519" s="270">
        <v>433.5</v>
      </c>
      <c r="DN519" s="274">
        <f>3058-42.8</f>
        <v>3015.2</v>
      </c>
      <c r="DT519" s="99">
        <f t="shared" si="8"/>
        <v>3015.2</v>
      </c>
    </row>
    <row r="520" spans="1:124" ht="37.5" x14ac:dyDescent="0.3">
      <c r="A520" s="143" t="s">
        <v>425</v>
      </c>
      <c r="B520" s="13">
        <v>936</v>
      </c>
      <c r="C520" s="14" t="s">
        <v>115</v>
      </c>
      <c r="D520" s="14" t="s">
        <v>121</v>
      </c>
      <c r="E520" s="14" t="s">
        <v>1159</v>
      </c>
      <c r="F520" s="14" t="s">
        <v>59</v>
      </c>
      <c r="G520" s="72">
        <f>DT520</f>
        <v>42.8</v>
      </c>
      <c r="H520" s="116"/>
      <c r="I520" s="117">
        <v>127.8</v>
      </c>
      <c r="J520" s="116"/>
      <c r="K520" s="80"/>
      <c r="L520" s="79"/>
      <c r="M520" s="79"/>
      <c r="AG520" s="79"/>
      <c r="AH520" s="79"/>
      <c r="AK520" s="79">
        <v>106.9</v>
      </c>
      <c r="BL520" s="194">
        <v>-49.555</v>
      </c>
      <c r="BO520" s="238">
        <v>41.1</v>
      </c>
      <c r="CQ520" s="99">
        <v>44</v>
      </c>
      <c r="DN520" s="274">
        <v>42.8</v>
      </c>
      <c r="DT520" s="99">
        <f t="shared" si="8"/>
        <v>42.8</v>
      </c>
    </row>
    <row r="521" spans="1:124" ht="56.25" x14ac:dyDescent="0.3">
      <c r="A521" s="208" t="s">
        <v>16</v>
      </c>
      <c r="B521" s="13">
        <v>936</v>
      </c>
      <c r="C521" s="14" t="s">
        <v>115</v>
      </c>
      <c r="D521" s="14" t="s">
        <v>121</v>
      </c>
      <c r="E521" s="15" t="s">
        <v>32</v>
      </c>
      <c r="F521" s="15" t="s">
        <v>50</v>
      </c>
      <c r="G521" s="57">
        <f>G522+G535</f>
        <v>37879.300000000003</v>
      </c>
      <c r="H521" s="116"/>
      <c r="I521" s="117"/>
      <c r="J521" s="116"/>
      <c r="K521" s="80"/>
      <c r="L521" s="79"/>
      <c r="M521" s="79"/>
      <c r="AG521" s="79"/>
      <c r="AH521" s="79"/>
      <c r="DT521" s="99">
        <f t="shared" si="8"/>
        <v>0</v>
      </c>
    </row>
    <row r="522" spans="1:124" ht="43.5" customHeight="1" x14ac:dyDescent="0.3">
      <c r="A522" s="162" t="s">
        <v>18</v>
      </c>
      <c r="B522" s="13">
        <v>936</v>
      </c>
      <c r="C522" s="14" t="s">
        <v>115</v>
      </c>
      <c r="D522" s="14" t="s">
        <v>121</v>
      </c>
      <c r="E522" s="15" t="s">
        <v>34</v>
      </c>
      <c r="F522" s="15" t="s">
        <v>50</v>
      </c>
      <c r="G522" s="57">
        <f>G523</f>
        <v>37879.300000000003</v>
      </c>
      <c r="H522" s="116"/>
      <c r="I522" s="117"/>
      <c r="J522" s="116"/>
      <c r="K522" s="80"/>
      <c r="L522" s="79"/>
      <c r="M522" s="79"/>
      <c r="AG522" s="79"/>
      <c r="AH522" s="79"/>
      <c r="DT522" s="99">
        <f t="shared" ref="DT522:DT585" si="10">DN522+DO522+DP522+DQ522+DR522+DS522</f>
        <v>0</v>
      </c>
    </row>
    <row r="523" spans="1:124" ht="75" x14ac:dyDescent="0.3">
      <c r="A523" s="143" t="s">
        <v>103</v>
      </c>
      <c r="B523" s="13">
        <v>936</v>
      </c>
      <c r="C523" s="14" t="s">
        <v>115</v>
      </c>
      <c r="D523" s="14" t="s">
        <v>121</v>
      </c>
      <c r="E523" s="15" t="s">
        <v>36</v>
      </c>
      <c r="F523" s="15" t="s">
        <v>50</v>
      </c>
      <c r="G523" s="57">
        <f>G524+G531</f>
        <v>37879.300000000003</v>
      </c>
      <c r="H523" s="116"/>
      <c r="I523" s="117"/>
      <c r="J523" s="116"/>
      <c r="K523" s="80"/>
      <c r="L523" s="79"/>
      <c r="M523" s="79"/>
      <c r="AG523" s="79"/>
      <c r="AH523" s="79"/>
      <c r="DT523" s="99">
        <f t="shared" si="10"/>
        <v>0</v>
      </c>
    </row>
    <row r="524" spans="1:124" x14ac:dyDescent="0.3">
      <c r="A524" s="143" t="s">
        <v>104</v>
      </c>
      <c r="B524" s="13">
        <v>936</v>
      </c>
      <c r="C524" s="14" t="s">
        <v>115</v>
      </c>
      <c r="D524" s="14" t="s">
        <v>121</v>
      </c>
      <c r="E524" s="14" t="s">
        <v>37</v>
      </c>
      <c r="F524" s="15" t="s">
        <v>50</v>
      </c>
      <c r="G524" s="57">
        <f>G525+G526+G527+G528+G529</f>
        <v>32503.3</v>
      </c>
      <c r="H524" s="116"/>
      <c r="I524" s="117"/>
      <c r="J524" s="116"/>
      <c r="K524" s="80"/>
      <c r="L524" s="79"/>
      <c r="M524" s="79"/>
      <c r="AG524" s="79"/>
      <c r="AH524" s="79"/>
      <c r="DT524" s="99">
        <f t="shared" si="10"/>
        <v>0</v>
      </c>
    </row>
    <row r="525" spans="1:124" ht="93.75" x14ac:dyDescent="0.3">
      <c r="A525" s="143" t="s">
        <v>56</v>
      </c>
      <c r="B525" s="13">
        <v>936</v>
      </c>
      <c r="C525" s="14" t="s">
        <v>115</v>
      </c>
      <c r="D525" s="14" t="s">
        <v>121</v>
      </c>
      <c r="E525" s="15" t="s">
        <v>37</v>
      </c>
      <c r="F525" s="15" t="s">
        <v>57</v>
      </c>
      <c r="G525" s="57">
        <f>DT525</f>
        <v>17325.599999999999</v>
      </c>
      <c r="H525" s="125">
        <v>21572.6</v>
      </c>
      <c r="I525" s="126"/>
      <c r="J525" s="125"/>
      <c r="K525" s="80"/>
      <c r="L525" s="79"/>
      <c r="M525" s="79"/>
      <c r="N525">
        <v>13.2</v>
      </c>
      <c r="T525">
        <v>4</v>
      </c>
      <c r="AG525" s="79"/>
      <c r="AH525" s="79"/>
      <c r="AK525" s="79">
        <v>18842.099999999999</v>
      </c>
      <c r="BL525" s="194">
        <v>6.3220000000000001</v>
      </c>
      <c r="BM525" s="100">
        <v>23651.5</v>
      </c>
      <c r="CB525" s="226">
        <v>1.5</v>
      </c>
      <c r="CF525" s="194">
        <v>1</v>
      </c>
      <c r="CP525" s="259">
        <f>1426+5</f>
        <v>1431</v>
      </c>
      <c r="CS525" s="264">
        <v>25460.5</v>
      </c>
      <c r="CV525" s="268">
        <f>81+0.8</f>
        <v>81.8</v>
      </c>
      <c r="CX525" s="270">
        <v>15.5</v>
      </c>
      <c r="DO525" s="274">
        <f>28025.6-10700</f>
        <v>17325.599999999999</v>
      </c>
      <c r="DT525" s="99">
        <f t="shared" si="10"/>
        <v>17325.599999999999</v>
      </c>
    </row>
    <row r="526" spans="1:124" ht="37.5" x14ac:dyDescent="0.3">
      <c r="A526" s="143" t="s">
        <v>425</v>
      </c>
      <c r="B526" s="13">
        <v>936</v>
      </c>
      <c r="C526" s="14" t="s">
        <v>115</v>
      </c>
      <c r="D526" s="14" t="s">
        <v>121</v>
      </c>
      <c r="E526" s="15" t="s">
        <v>37</v>
      </c>
      <c r="F526" s="15" t="s">
        <v>59</v>
      </c>
      <c r="G526" s="57">
        <f>DT526</f>
        <v>4477.7</v>
      </c>
      <c r="H526" s="116">
        <v>3392</v>
      </c>
      <c r="I526" s="117"/>
      <c r="J526" s="116"/>
      <c r="K526" s="80"/>
      <c r="L526" s="79"/>
      <c r="M526" s="79"/>
      <c r="T526">
        <f>77+45</f>
        <v>122</v>
      </c>
      <c r="U526">
        <f>-45-5</f>
        <v>-50</v>
      </c>
      <c r="AG526" s="79"/>
      <c r="AH526" s="79"/>
      <c r="AI526">
        <v>90</v>
      </c>
      <c r="AK526" s="79">
        <v>3083.6</v>
      </c>
      <c r="AS526" s="194">
        <f>30+44-2.71857</f>
        <v>71.28143</v>
      </c>
      <c r="AV526" s="194">
        <v>24.0396</v>
      </c>
      <c r="BB526" s="194">
        <v>-53.228630000000003</v>
      </c>
      <c r="BH526" s="233">
        <f>-21.87+53</f>
        <v>31.13</v>
      </c>
      <c r="BJ526" s="194">
        <v>-4</v>
      </c>
      <c r="BM526" s="100">
        <v>2920</v>
      </c>
      <c r="BU526" s="151">
        <v>921</v>
      </c>
      <c r="BX526" s="151">
        <f>105+760</f>
        <v>865</v>
      </c>
      <c r="CH526" s="258">
        <v>11</v>
      </c>
      <c r="CJ526" s="194">
        <v>1.5</v>
      </c>
      <c r="CL526" s="194">
        <v>60</v>
      </c>
      <c r="CP526" s="259">
        <v>50</v>
      </c>
      <c r="CR526" s="99">
        <f>40+50</f>
        <v>90</v>
      </c>
      <c r="CS526" s="264">
        <f>3000+1626</f>
        <v>4626</v>
      </c>
      <c r="DJ526" s="194">
        <f>-50.2-8</f>
        <v>-58.2</v>
      </c>
      <c r="DP526" s="99">
        <f>1600+1700+220</f>
        <v>3520</v>
      </c>
      <c r="DQ526" s="99">
        <v>357.7</v>
      </c>
      <c r="DR526" s="99">
        <v>600</v>
      </c>
      <c r="DT526" s="99">
        <f t="shared" si="10"/>
        <v>4477.7</v>
      </c>
    </row>
    <row r="527" spans="1:124" hidden="1" outlineLevel="1" x14ac:dyDescent="0.3">
      <c r="A527" s="143" t="s">
        <v>60</v>
      </c>
      <c r="B527" s="13">
        <v>936</v>
      </c>
      <c r="C527" s="14" t="s">
        <v>115</v>
      </c>
      <c r="D527" s="14" t="s">
        <v>121</v>
      </c>
      <c r="E527" s="15" t="s">
        <v>37</v>
      </c>
      <c r="F527" s="15" t="s">
        <v>61</v>
      </c>
      <c r="G527" s="57"/>
      <c r="H527" s="116"/>
      <c r="I527" s="117"/>
      <c r="J527" s="116"/>
      <c r="K527" s="80"/>
      <c r="L527" s="79"/>
      <c r="M527" s="79"/>
      <c r="AG527" s="79"/>
      <c r="AH527" s="79"/>
      <c r="DT527" s="99">
        <f t="shared" si="10"/>
        <v>0</v>
      </c>
    </row>
    <row r="528" spans="1:124" hidden="1" outlineLevel="1" x14ac:dyDescent="0.3">
      <c r="A528" s="143" t="s">
        <v>60</v>
      </c>
      <c r="B528" s="13">
        <v>936</v>
      </c>
      <c r="C528" s="14" t="s">
        <v>115</v>
      </c>
      <c r="D528" s="14" t="s">
        <v>121</v>
      </c>
      <c r="E528" s="15" t="s">
        <v>37</v>
      </c>
      <c r="F528" s="15" t="s">
        <v>61</v>
      </c>
      <c r="G528" s="57">
        <v>0</v>
      </c>
      <c r="H528" s="116">
        <v>53.6</v>
      </c>
      <c r="I528" s="117"/>
      <c r="J528" s="116"/>
      <c r="K528" s="80"/>
      <c r="L528" s="79"/>
      <c r="M528" s="79"/>
      <c r="AG528" s="79"/>
      <c r="AH528" s="79"/>
      <c r="AK528" s="79">
        <v>139.19999999999999</v>
      </c>
      <c r="BL528" s="194">
        <v>-16.155000000000001</v>
      </c>
      <c r="BM528" s="100">
        <v>53.6</v>
      </c>
      <c r="CS528" s="264">
        <v>28</v>
      </c>
      <c r="DH528" s="194">
        <v>34</v>
      </c>
      <c r="DT528" s="99">
        <f t="shared" si="10"/>
        <v>0</v>
      </c>
    </row>
    <row r="529" spans="1:124" ht="37.5" outlineLevel="1" x14ac:dyDescent="0.3">
      <c r="A529" s="162" t="s">
        <v>374</v>
      </c>
      <c r="B529" s="13">
        <v>936</v>
      </c>
      <c r="C529" s="14" t="s">
        <v>115</v>
      </c>
      <c r="D529" s="14" t="s">
        <v>121</v>
      </c>
      <c r="E529" s="15" t="s">
        <v>665</v>
      </c>
      <c r="F529" s="15" t="s">
        <v>50</v>
      </c>
      <c r="G529" s="57">
        <f>G530</f>
        <v>10700</v>
      </c>
      <c r="H529" s="116"/>
      <c r="I529" s="117"/>
      <c r="J529" s="116"/>
      <c r="K529" s="80"/>
      <c r="L529" s="79"/>
      <c r="M529" s="79"/>
      <c r="AG529" s="79"/>
      <c r="AH529" s="79"/>
      <c r="DT529" s="99">
        <f t="shared" si="10"/>
        <v>0</v>
      </c>
    </row>
    <row r="530" spans="1:124" ht="93.75" outlineLevel="1" x14ac:dyDescent="0.3">
      <c r="A530" s="143" t="s">
        <v>56</v>
      </c>
      <c r="B530" s="13">
        <v>936</v>
      </c>
      <c r="C530" s="14" t="s">
        <v>115</v>
      </c>
      <c r="D530" s="14" t="s">
        <v>121</v>
      </c>
      <c r="E530" s="15" t="s">
        <v>665</v>
      </c>
      <c r="F530" s="15" t="s">
        <v>57</v>
      </c>
      <c r="G530" s="57">
        <f>DT530</f>
        <v>10700</v>
      </c>
      <c r="H530" s="116"/>
      <c r="I530" s="117"/>
      <c r="J530" s="116"/>
      <c r="K530" s="80"/>
      <c r="L530" s="79"/>
      <c r="M530" s="79"/>
      <c r="AG530" s="79">
        <v>714.6</v>
      </c>
      <c r="AH530" s="79"/>
      <c r="AK530" s="79">
        <v>0</v>
      </c>
      <c r="BK530" s="226">
        <v>1642</v>
      </c>
      <c r="DI530" s="270">
        <v>4524.1000000000004</v>
      </c>
      <c r="DO530" s="274">
        <v>10700</v>
      </c>
      <c r="DT530" s="99">
        <f t="shared" si="10"/>
        <v>10700</v>
      </c>
    </row>
    <row r="531" spans="1:124" ht="37.5" x14ac:dyDescent="0.3">
      <c r="A531" s="143" t="s">
        <v>180</v>
      </c>
      <c r="B531" s="13">
        <v>936</v>
      </c>
      <c r="C531" s="14" t="s">
        <v>115</v>
      </c>
      <c r="D531" s="14" t="s">
        <v>121</v>
      </c>
      <c r="E531" s="14" t="s">
        <v>181</v>
      </c>
      <c r="F531" s="14" t="s">
        <v>50</v>
      </c>
      <c r="G531" s="57">
        <f>G532+G533</f>
        <v>5376</v>
      </c>
      <c r="H531" s="116"/>
      <c r="I531" s="117"/>
      <c r="J531" s="116"/>
      <c r="K531" s="80"/>
      <c r="L531" s="79"/>
      <c r="M531" s="79"/>
      <c r="AG531" s="79"/>
      <c r="AH531" s="79"/>
      <c r="DT531" s="99">
        <f t="shared" si="10"/>
        <v>0</v>
      </c>
    </row>
    <row r="532" spans="1:124" ht="93.75" x14ac:dyDescent="0.3">
      <c r="A532" s="143" t="s">
        <v>56</v>
      </c>
      <c r="B532" s="13">
        <v>936</v>
      </c>
      <c r="C532" s="14" t="s">
        <v>115</v>
      </c>
      <c r="D532" s="14" t="s">
        <v>121</v>
      </c>
      <c r="E532" s="14" t="s">
        <v>181</v>
      </c>
      <c r="F532" s="14" t="s">
        <v>57</v>
      </c>
      <c r="G532" s="57">
        <f>DT532</f>
        <v>3876</v>
      </c>
      <c r="H532" s="116">
        <v>5116.5</v>
      </c>
      <c r="I532" s="117"/>
      <c r="J532" s="116"/>
      <c r="K532" s="80"/>
      <c r="L532" s="79"/>
      <c r="M532" s="79"/>
      <c r="AG532" s="79"/>
      <c r="AH532" s="79"/>
      <c r="AK532" s="79">
        <v>4427.1000000000004</v>
      </c>
      <c r="BJ532" s="194">
        <v>4.3428599999999999</v>
      </c>
      <c r="BK532" s="226">
        <v>-597</v>
      </c>
      <c r="BM532" s="100">
        <v>5061.3999999999996</v>
      </c>
      <c r="CP532" s="259">
        <v>559.20000000000005</v>
      </c>
      <c r="CS532" s="264">
        <v>5514.2</v>
      </c>
      <c r="CX532" s="270">
        <v>0.8</v>
      </c>
      <c r="DO532" s="274">
        <f>5376-1500</f>
        <v>3876</v>
      </c>
      <c r="DT532" s="99">
        <f t="shared" si="10"/>
        <v>3876</v>
      </c>
    </row>
    <row r="533" spans="1:124" ht="37.5" x14ac:dyDescent="0.3">
      <c r="A533" s="162" t="s">
        <v>374</v>
      </c>
      <c r="B533" s="13">
        <v>936</v>
      </c>
      <c r="C533" s="14" t="s">
        <v>115</v>
      </c>
      <c r="D533" s="14" t="s">
        <v>121</v>
      </c>
      <c r="E533" s="15" t="s">
        <v>666</v>
      </c>
      <c r="F533" s="15" t="s">
        <v>50</v>
      </c>
      <c r="G533" s="57">
        <f>G534</f>
        <v>1500</v>
      </c>
      <c r="H533" s="116"/>
      <c r="I533" s="117"/>
      <c r="J533" s="116"/>
      <c r="K533" s="80"/>
      <c r="L533" s="79"/>
      <c r="M533" s="79"/>
      <c r="AG533" s="79"/>
      <c r="AH533" s="79"/>
      <c r="DT533" s="99">
        <f t="shared" si="10"/>
        <v>0</v>
      </c>
    </row>
    <row r="534" spans="1:124" ht="93.75" x14ac:dyDescent="0.3">
      <c r="A534" s="143" t="s">
        <v>56</v>
      </c>
      <c r="B534" s="13">
        <v>936</v>
      </c>
      <c r="C534" s="14" t="s">
        <v>115</v>
      </c>
      <c r="D534" s="14" t="s">
        <v>121</v>
      </c>
      <c r="E534" s="15" t="s">
        <v>666</v>
      </c>
      <c r="F534" s="15" t="s">
        <v>57</v>
      </c>
      <c r="G534" s="57">
        <f>DT534</f>
        <v>1500</v>
      </c>
      <c r="H534" s="116"/>
      <c r="I534" s="117"/>
      <c r="J534" s="116"/>
      <c r="K534" s="80"/>
      <c r="L534" s="79"/>
      <c r="M534" s="79"/>
      <c r="AG534" s="79"/>
      <c r="AH534" s="79"/>
      <c r="DI534" s="270">
        <v>100</v>
      </c>
      <c r="DO534" s="274">
        <v>1500</v>
      </c>
      <c r="DT534" s="99">
        <f t="shared" si="10"/>
        <v>1500</v>
      </c>
    </row>
    <row r="535" spans="1:124" ht="56.25" hidden="1" x14ac:dyDescent="0.3">
      <c r="A535" s="143" t="s">
        <v>928</v>
      </c>
      <c r="B535" s="13">
        <v>936</v>
      </c>
      <c r="C535" s="14" t="s">
        <v>115</v>
      </c>
      <c r="D535" s="14" t="s">
        <v>121</v>
      </c>
      <c r="E535" s="14" t="s">
        <v>929</v>
      </c>
      <c r="F535" s="20" t="s">
        <v>50</v>
      </c>
      <c r="G535" s="57">
        <f>G536</f>
        <v>0</v>
      </c>
      <c r="H535" s="116"/>
      <c r="I535" s="117"/>
      <c r="J535" s="116"/>
      <c r="K535" s="80"/>
      <c r="L535" s="79"/>
      <c r="M535" s="79"/>
      <c r="AG535" s="79"/>
      <c r="AH535" s="79"/>
      <c r="DT535" s="99">
        <f t="shared" si="10"/>
        <v>0</v>
      </c>
    </row>
    <row r="536" spans="1:124" ht="93.75" hidden="1" x14ac:dyDescent="0.3">
      <c r="A536" s="143" t="s">
        <v>56</v>
      </c>
      <c r="B536" s="13">
        <v>936</v>
      </c>
      <c r="C536" s="14" t="s">
        <v>115</v>
      </c>
      <c r="D536" s="14" t="s">
        <v>121</v>
      </c>
      <c r="E536" s="14" t="s">
        <v>929</v>
      </c>
      <c r="F536" s="14" t="s">
        <v>57</v>
      </c>
      <c r="G536" s="57">
        <v>0</v>
      </c>
      <c r="H536" s="116"/>
      <c r="I536" s="117"/>
      <c r="J536" s="116"/>
      <c r="K536" s="80"/>
      <c r="L536" s="79"/>
      <c r="M536" s="79"/>
      <c r="AG536" s="79"/>
      <c r="AH536" s="79"/>
      <c r="DK536" s="270">
        <v>555.64300000000003</v>
      </c>
      <c r="DT536" s="99">
        <f t="shared" si="10"/>
        <v>0</v>
      </c>
    </row>
    <row r="537" spans="1:124" x14ac:dyDescent="0.3">
      <c r="A537" s="212" t="s">
        <v>208</v>
      </c>
      <c r="B537" s="25">
        <v>936</v>
      </c>
      <c r="C537" s="26" t="s">
        <v>115</v>
      </c>
      <c r="D537" s="26" t="s">
        <v>209</v>
      </c>
      <c r="E537" s="27" t="s">
        <v>49</v>
      </c>
      <c r="F537" s="27" t="s">
        <v>50</v>
      </c>
      <c r="G537" s="68">
        <f>G538</f>
        <v>24</v>
      </c>
      <c r="H537" s="116"/>
      <c r="I537" s="117"/>
      <c r="J537" s="116"/>
      <c r="K537" s="80"/>
      <c r="L537" s="79"/>
      <c r="M537" s="79"/>
      <c r="AG537" s="79"/>
      <c r="AH537" s="79"/>
      <c r="DT537" s="99">
        <f t="shared" si="10"/>
        <v>0</v>
      </c>
    </row>
    <row r="538" spans="1:124" ht="56.25" x14ac:dyDescent="0.3">
      <c r="A538" s="208" t="s">
        <v>16</v>
      </c>
      <c r="B538" s="28">
        <v>936</v>
      </c>
      <c r="C538" s="29" t="s">
        <v>115</v>
      </c>
      <c r="D538" s="29" t="s">
        <v>209</v>
      </c>
      <c r="E538" s="15" t="s">
        <v>32</v>
      </c>
      <c r="F538" s="20" t="s">
        <v>50</v>
      </c>
      <c r="G538" s="57">
        <f>G539</f>
        <v>24</v>
      </c>
      <c r="H538" s="116"/>
      <c r="I538" s="117"/>
      <c r="J538" s="116"/>
      <c r="K538" s="80"/>
      <c r="L538" s="79"/>
      <c r="M538" s="79"/>
      <c r="AG538" s="79"/>
      <c r="AH538" s="79"/>
      <c r="DT538" s="99">
        <f t="shared" si="10"/>
        <v>0</v>
      </c>
    </row>
    <row r="539" spans="1:124" x14ac:dyDescent="0.3">
      <c r="A539" s="143" t="s">
        <v>409</v>
      </c>
      <c r="B539" s="28">
        <v>936</v>
      </c>
      <c r="C539" s="29" t="s">
        <v>115</v>
      </c>
      <c r="D539" s="29" t="s">
        <v>209</v>
      </c>
      <c r="E539" s="20" t="s">
        <v>847</v>
      </c>
      <c r="F539" s="20" t="s">
        <v>50</v>
      </c>
      <c r="G539" s="57">
        <f>G540</f>
        <v>24</v>
      </c>
      <c r="H539" s="116"/>
      <c r="I539" s="117"/>
      <c r="J539" s="116"/>
      <c r="K539" s="80"/>
      <c r="L539" s="79"/>
      <c r="M539" s="79"/>
      <c r="AG539" s="79"/>
      <c r="AH539" s="79"/>
      <c r="DT539" s="99">
        <f t="shared" si="10"/>
        <v>0</v>
      </c>
    </row>
    <row r="540" spans="1:124" ht="88.5" customHeight="1" x14ac:dyDescent="0.3">
      <c r="A540" s="187" t="s">
        <v>210</v>
      </c>
      <c r="B540" s="28">
        <v>936</v>
      </c>
      <c r="C540" s="29" t="s">
        <v>115</v>
      </c>
      <c r="D540" s="29" t="s">
        <v>209</v>
      </c>
      <c r="E540" s="20" t="s">
        <v>1187</v>
      </c>
      <c r="F540" s="20" t="s">
        <v>50</v>
      </c>
      <c r="G540" s="57">
        <f>G541</f>
        <v>24</v>
      </c>
      <c r="H540" s="116"/>
      <c r="I540" s="117"/>
      <c r="J540" s="116"/>
      <c r="K540" s="80"/>
      <c r="L540" s="79"/>
      <c r="M540" s="79"/>
      <c r="AG540" s="79"/>
      <c r="AH540" s="79"/>
      <c r="DT540" s="99">
        <f t="shared" si="10"/>
        <v>0</v>
      </c>
    </row>
    <row r="541" spans="1:124" ht="37.5" x14ac:dyDescent="0.3">
      <c r="A541" s="143" t="s">
        <v>425</v>
      </c>
      <c r="B541" s="28">
        <v>936</v>
      </c>
      <c r="C541" s="29" t="s">
        <v>115</v>
      </c>
      <c r="D541" s="29" t="s">
        <v>209</v>
      </c>
      <c r="E541" s="20" t="s">
        <v>1187</v>
      </c>
      <c r="F541" s="20" t="s">
        <v>59</v>
      </c>
      <c r="G541" s="57">
        <f>DT541</f>
        <v>24</v>
      </c>
      <c r="H541" s="116"/>
      <c r="I541" s="117">
        <v>5.6</v>
      </c>
      <c r="J541" s="116"/>
      <c r="K541" s="80"/>
      <c r="L541" s="79"/>
      <c r="M541" s="79"/>
      <c r="AG541" s="79"/>
      <c r="AH541" s="79"/>
      <c r="AK541" s="79">
        <v>21.5</v>
      </c>
      <c r="BG541" s="233">
        <v>7.3</v>
      </c>
      <c r="BO541" s="238">
        <v>3.2</v>
      </c>
      <c r="CQ541" s="99">
        <v>3.62</v>
      </c>
      <c r="DB541" s="194">
        <v>3.73</v>
      </c>
      <c r="DN541" s="274">
        <v>24</v>
      </c>
      <c r="DT541" s="99">
        <f t="shared" si="10"/>
        <v>24</v>
      </c>
    </row>
    <row r="542" spans="1:124" ht="37.5" hidden="1" x14ac:dyDescent="0.3">
      <c r="A542" s="155" t="s">
        <v>342</v>
      </c>
      <c r="B542" s="25">
        <v>936</v>
      </c>
      <c r="C542" s="26" t="s">
        <v>115</v>
      </c>
      <c r="D542" s="26" t="s">
        <v>123</v>
      </c>
      <c r="E542" s="27" t="s">
        <v>49</v>
      </c>
      <c r="F542" s="27" t="s">
        <v>50</v>
      </c>
      <c r="G542" s="68">
        <f>G543</f>
        <v>0</v>
      </c>
      <c r="H542" s="116"/>
      <c r="I542" s="117"/>
      <c r="J542" s="116"/>
      <c r="K542" s="80"/>
      <c r="L542" s="79"/>
      <c r="M542" s="79"/>
      <c r="AG542" s="79"/>
      <c r="AH542" s="79"/>
      <c r="DT542" s="99">
        <f t="shared" si="10"/>
        <v>0</v>
      </c>
    </row>
    <row r="543" spans="1:124" ht="56.25" hidden="1" x14ac:dyDescent="0.3">
      <c r="A543" s="208" t="s">
        <v>16</v>
      </c>
      <c r="B543" s="28">
        <v>936</v>
      </c>
      <c r="C543" s="29" t="s">
        <v>115</v>
      </c>
      <c r="D543" s="29" t="s">
        <v>123</v>
      </c>
      <c r="E543" s="15" t="s">
        <v>32</v>
      </c>
      <c r="F543" s="20" t="s">
        <v>50</v>
      </c>
      <c r="G543" s="57">
        <f>G544</f>
        <v>0</v>
      </c>
      <c r="H543" s="116"/>
      <c r="I543" s="117"/>
      <c r="J543" s="116"/>
      <c r="K543" s="80"/>
      <c r="L543" s="79"/>
      <c r="M543" s="79"/>
      <c r="AG543" s="79"/>
      <c r="AH543" s="79"/>
      <c r="DT543" s="99">
        <f t="shared" si="10"/>
        <v>0</v>
      </c>
    </row>
    <row r="544" spans="1:124" hidden="1" x14ac:dyDescent="0.3">
      <c r="A544" s="143" t="s">
        <v>409</v>
      </c>
      <c r="B544" s="28">
        <v>936</v>
      </c>
      <c r="C544" s="29" t="s">
        <v>115</v>
      </c>
      <c r="D544" s="29" t="s">
        <v>123</v>
      </c>
      <c r="E544" s="20" t="s">
        <v>44</v>
      </c>
      <c r="F544" s="20" t="s">
        <v>50</v>
      </c>
      <c r="G544" s="57">
        <f>G545</f>
        <v>0</v>
      </c>
      <c r="H544" s="116"/>
      <c r="I544" s="117"/>
      <c r="J544" s="116"/>
      <c r="K544" s="80"/>
      <c r="L544" s="79"/>
      <c r="M544" s="79"/>
      <c r="AG544" s="79"/>
      <c r="AH544" s="79"/>
      <c r="DT544" s="99">
        <f t="shared" si="10"/>
        <v>0</v>
      </c>
    </row>
    <row r="545" spans="1:124" hidden="1" x14ac:dyDescent="0.3">
      <c r="A545" s="143" t="s">
        <v>523</v>
      </c>
      <c r="B545" s="28">
        <v>936</v>
      </c>
      <c r="C545" s="29" t="s">
        <v>115</v>
      </c>
      <c r="D545" s="29" t="s">
        <v>123</v>
      </c>
      <c r="E545" s="20" t="s">
        <v>524</v>
      </c>
      <c r="F545" s="20" t="s">
        <v>50</v>
      </c>
      <c r="G545" s="57">
        <f>G546</f>
        <v>0</v>
      </c>
      <c r="H545" s="116"/>
      <c r="I545" s="117"/>
      <c r="J545" s="116"/>
      <c r="K545" s="80"/>
      <c r="L545" s="79"/>
      <c r="M545" s="79"/>
      <c r="AG545" s="79"/>
      <c r="AH545" s="79"/>
      <c r="DT545" s="99">
        <f t="shared" si="10"/>
        <v>0</v>
      </c>
    </row>
    <row r="546" spans="1:124" ht="37.5" hidden="1" x14ac:dyDescent="0.3">
      <c r="A546" s="143" t="s">
        <v>525</v>
      </c>
      <c r="B546" s="28">
        <v>936</v>
      </c>
      <c r="C546" s="29" t="s">
        <v>115</v>
      </c>
      <c r="D546" s="29" t="s">
        <v>123</v>
      </c>
      <c r="E546" s="20" t="s">
        <v>526</v>
      </c>
      <c r="F546" s="20" t="s">
        <v>50</v>
      </c>
      <c r="G546" s="57">
        <f>G547+G548</f>
        <v>0</v>
      </c>
      <c r="H546" s="116"/>
      <c r="I546" s="117"/>
      <c r="J546" s="116"/>
      <c r="K546" s="80"/>
      <c r="L546" s="79"/>
      <c r="M546" s="79"/>
      <c r="AG546" s="79"/>
      <c r="AH546" s="79"/>
      <c r="DT546" s="99">
        <f t="shared" si="10"/>
        <v>0</v>
      </c>
    </row>
    <row r="547" spans="1:124" ht="37.5" hidden="1" x14ac:dyDescent="0.3">
      <c r="A547" s="143" t="s">
        <v>425</v>
      </c>
      <c r="B547" s="28">
        <v>936</v>
      </c>
      <c r="C547" s="29" t="s">
        <v>115</v>
      </c>
      <c r="D547" s="29" t="s">
        <v>123</v>
      </c>
      <c r="E547" s="20" t="s">
        <v>526</v>
      </c>
      <c r="F547" s="20" t="s">
        <v>59</v>
      </c>
      <c r="G547" s="57">
        <v>0</v>
      </c>
      <c r="H547" s="116"/>
      <c r="I547" s="117"/>
      <c r="J547" s="116"/>
      <c r="K547" s="80"/>
      <c r="L547" s="79"/>
      <c r="M547" s="79"/>
      <c r="AC547">
        <v>478.33600000000001</v>
      </c>
      <c r="AD547">
        <v>-678.33600000000001</v>
      </c>
      <c r="AG547" s="79"/>
      <c r="AH547" s="79"/>
      <c r="AK547" s="79">
        <v>0</v>
      </c>
      <c r="DT547" s="99">
        <f t="shared" si="10"/>
        <v>0</v>
      </c>
    </row>
    <row r="548" spans="1:124" hidden="1" x14ac:dyDescent="0.3">
      <c r="A548" s="143" t="s">
        <v>60</v>
      </c>
      <c r="B548" s="28">
        <v>936</v>
      </c>
      <c r="C548" s="29" t="s">
        <v>115</v>
      </c>
      <c r="D548" s="29" t="s">
        <v>123</v>
      </c>
      <c r="E548" s="20" t="s">
        <v>526</v>
      </c>
      <c r="F548" s="20" t="s">
        <v>61</v>
      </c>
      <c r="G548" s="57">
        <v>0</v>
      </c>
      <c r="H548" s="116"/>
      <c r="I548" s="117"/>
      <c r="J548" s="116"/>
      <c r="K548" s="80"/>
      <c r="L548" s="79"/>
      <c r="M548" s="79"/>
      <c r="AD548">
        <v>678.33600000000001</v>
      </c>
      <c r="AG548" s="79"/>
      <c r="AH548" s="79"/>
      <c r="AK548" s="79">
        <v>0</v>
      </c>
      <c r="DT548" s="99">
        <f t="shared" si="10"/>
        <v>0</v>
      </c>
    </row>
    <row r="549" spans="1:124" x14ac:dyDescent="0.3">
      <c r="A549" s="155" t="s">
        <v>211</v>
      </c>
      <c r="B549" s="12">
        <v>936</v>
      </c>
      <c r="C549" s="9" t="s">
        <v>115</v>
      </c>
      <c r="D549" s="19" t="s">
        <v>189</v>
      </c>
      <c r="E549" s="12" t="s">
        <v>212</v>
      </c>
      <c r="F549" s="12" t="s">
        <v>213</v>
      </c>
      <c r="G549" s="68">
        <f>G550+G575+G607+G580+G563</f>
        <v>21401.5</v>
      </c>
      <c r="H549" s="116"/>
      <c r="I549" s="117"/>
      <c r="J549" s="116"/>
      <c r="K549" s="80"/>
      <c r="L549" s="79"/>
      <c r="M549" s="79"/>
      <c r="AG549" s="79"/>
      <c r="AH549" s="79"/>
      <c r="DT549" s="99">
        <f t="shared" si="10"/>
        <v>0</v>
      </c>
    </row>
    <row r="550" spans="1:124" ht="39" hidden="1" customHeight="1" x14ac:dyDescent="0.3">
      <c r="A550" s="284" t="s">
        <v>158</v>
      </c>
      <c r="B550" s="285">
        <v>936</v>
      </c>
      <c r="C550" s="90" t="s">
        <v>115</v>
      </c>
      <c r="D550" s="286" t="s">
        <v>189</v>
      </c>
      <c r="E550" s="287" t="s">
        <v>85</v>
      </c>
      <c r="F550" s="288" t="s">
        <v>50</v>
      </c>
      <c r="G550" s="289">
        <f>G551</f>
        <v>0</v>
      </c>
      <c r="H550" s="116"/>
      <c r="I550" s="117"/>
      <c r="J550" s="116"/>
      <c r="K550" s="80"/>
      <c r="L550" s="79"/>
      <c r="M550" s="79"/>
      <c r="AG550" s="79"/>
      <c r="AH550" s="79"/>
      <c r="DT550" s="99">
        <f t="shared" si="10"/>
        <v>0</v>
      </c>
    </row>
    <row r="551" spans="1:124" ht="37.5" hidden="1" x14ac:dyDescent="0.3">
      <c r="A551" s="290" t="s">
        <v>214</v>
      </c>
      <c r="B551" s="285">
        <v>936</v>
      </c>
      <c r="C551" s="286" t="s">
        <v>115</v>
      </c>
      <c r="D551" s="286" t="s">
        <v>189</v>
      </c>
      <c r="E551" s="90" t="s">
        <v>89</v>
      </c>
      <c r="F551" s="90" t="s">
        <v>50</v>
      </c>
      <c r="G551" s="289">
        <f>G552+G560</f>
        <v>0</v>
      </c>
      <c r="H551" s="116"/>
      <c r="I551" s="117"/>
      <c r="J551" s="116"/>
      <c r="K551" s="80"/>
      <c r="L551" s="79"/>
      <c r="M551" s="79"/>
      <c r="AG551" s="79"/>
      <c r="AH551" s="79"/>
      <c r="DT551" s="99">
        <f t="shared" si="10"/>
        <v>0</v>
      </c>
    </row>
    <row r="552" spans="1:124" ht="37.5" hidden="1" x14ac:dyDescent="0.3">
      <c r="A552" s="291" t="s">
        <v>52</v>
      </c>
      <c r="B552" s="285">
        <v>936</v>
      </c>
      <c r="C552" s="90" t="s">
        <v>115</v>
      </c>
      <c r="D552" s="286" t="s">
        <v>189</v>
      </c>
      <c r="E552" s="90" t="s">
        <v>216</v>
      </c>
      <c r="F552" s="90" t="s">
        <v>50</v>
      </c>
      <c r="G552" s="289">
        <f>G553+G558</f>
        <v>0</v>
      </c>
      <c r="H552" s="116"/>
      <c r="I552" s="117"/>
      <c r="J552" s="116"/>
      <c r="K552" s="80"/>
      <c r="L552" s="79"/>
      <c r="M552" s="79"/>
      <c r="AG552" s="79"/>
      <c r="AH552" s="79"/>
      <c r="DT552" s="99">
        <f t="shared" si="10"/>
        <v>0</v>
      </c>
    </row>
    <row r="553" spans="1:124" hidden="1" x14ac:dyDescent="0.3">
      <c r="A553" s="291" t="s">
        <v>215</v>
      </c>
      <c r="B553" s="285">
        <v>936</v>
      </c>
      <c r="C553" s="90" t="s">
        <v>115</v>
      </c>
      <c r="D553" s="90" t="s">
        <v>189</v>
      </c>
      <c r="E553" s="90" t="s">
        <v>217</v>
      </c>
      <c r="F553" s="90" t="s">
        <v>50</v>
      </c>
      <c r="G553" s="289">
        <f>G554+G555+G557</f>
        <v>0</v>
      </c>
      <c r="H553" s="116"/>
      <c r="I553" s="117"/>
      <c r="J553" s="116"/>
      <c r="K553" s="80"/>
      <c r="L553" s="79"/>
      <c r="M553" s="79"/>
      <c r="AG553" s="79"/>
      <c r="AH553" s="79"/>
      <c r="DT553" s="99">
        <f t="shared" si="10"/>
        <v>0</v>
      </c>
    </row>
    <row r="554" spans="1:124" ht="93.75" hidden="1" x14ac:dyDescent="0.3">
      <c r="A554" s="291" t="s">
        <v>56</v>
      </c>
      <c r="B554" s="285">
        <v>936</v>
      </c>
      <c r="C554" s="90" t="s">
        <v>115</v>
      </c>
      <c r="D554" s="90" t="s">
        <v>189</v>
      </c>
      <c r="E554" s="90" t="s">
        <v>217</v>
      </c>
      <c r="F554" s="90" t="s">
        <v>57</v>
      </c>
      <c r="G554" s="289">
        <v>0</v>
      </c>
      <c r="H554" s="116">
        <v>3501.1</v>
      </c>
      <c r="I554" s="117"/>
      <c r="J554" s="116"/>
      <c r="K554" s="80"/>
      <c r="L554" s="79"/>
      <c r="M554" s="79"/>
      <c r="AG554" s="79"/>
      <c r="AH554" s="79"/>
      <c r="AK554" s="79">
        <v>3079.2</v>
      </c>
      <c r="BM554" s="100">
        <v>3877.1</v>
      </c>
      <c r="CS554" s="264">
        <v>4424.6000000000004</v>
      </c>
      <c r="DO554" s="274">
        <v>5292.2</v>
      </c>
      <c r="DT554" s="99">
        <f t="shared" si="10"/>
        <v>5292.2</v>
      </c>
    </row>
    <row r="555" spans="1:124" ht="37.5" hidden="1" x14ac:dyDescent="0.3">
      <c r="A555" s="291" t="s">
        <v>425</v>
      </c>
      <c r="B555" s="285">
        <v>936</v>
      </c>
      <c r="C555" s="90" t="s">
        <v>115</v>
      </c>
      <c r="D555" s="286" t="s">
        <v>189</v>
      </c>
      <c r="E555" s="90" t="s">
        <v>217</v>
      </c>
      <c r="F555" s="90" t="s">
        <v>59</v>
      </c>
      <c r="G555" s="289">
        <v>0</v>
      </c>
      <c r="H555" s="116">
        <v>552.20000000000005</v>
      </c>
      <c r="I555" s="117"/>
      <c r="J555" s="116"/>
      <c r="K555" s="80"/>
      <c r="L555" s="79"/>
      <c r="M555" s="79"/>
      <c r="AC555">
        <f>5+31.5</f>
        <v>36.5</v>
      </c>
      <c r="AG555" s="79"/>
      <c r="AH555" s="79">
        <f>-2.08665-0.84156+1.4</f>
        <v>-1.5282100000000001</v>
      </c>
      <c r="AK555" s="79">
        <v>677.5</v>
      </c>
      <c r="BH555" s="233">
        <v>96</v>
      </c>
      <c r="BL555" s="194">
        <v>-20.3</v>
      </c>
      <c r="BM555" s="100">
        <v>770.64</v>
      </c>
      <c r="CS555" s="264">
        <f>362+272.7</f>
        <v>634.70000000000005</v>
      </c>
      <c r="CU555" s="258">
        <v>67</v>
      </c>
      <c r="CZ555" s="194">
        <v>10</v>
      </c>
      <c r="DL555" s="270">
        <v>129</v>
      </c>
      <c r="DP555" s="99">
        <f>536.1+37+1.9+2.1</f>
        <v>577.1</v>
      </c>
      <c r="DQ555" s="99">
        <v>25.6</v>
      </c>
      <c r="DT555" s="99">
        <f t="shared" si="10"/>
        <v>602.70000000000005</v>
      </c>
    </row>
    <row r="556" spans="1:124" ht="37.5" hidden="1" x14ac:dyDescent="0.3">
      <c r="A556" s="292" t="s">
        <v>374</v>
      </c>
      <c r="B556" s="285">
        <v>936</v>
      </c>
      <c r="C556" s="90" t="s">
        <v>115</v>
      </c>
      <c r="D556" s="286" t="s">
        <v>189</v>
      </c>
      <c r="E556" s="90" t="s">
        <v>428</v>
      </c>
      <c r="F556" s="90" t="s">
        <v>50</v>
      </c>
      <c r="G556" s="289">
        <f>G557</f>
        <v>0</v>
      </c>
      <c r="H556" s="116"/>
      <c r="I556" s="117"/>
      <c r="J556" s="116"/>
      <c r="K556" s="80"/>
      <c r="L556" s="79"/>
      <c r="M556" s="79"/>
      <c r="AG556" s="79"/>
      <c r="AH556" s="79"/>
      <c r="DT556" s="99">
        <f t="shared" si="10"/>
        <v>0</v>
      </c>
    </row>
    <row r="557" spans="1:124" ht="93.75" hidden="1" x14ac:dyDescent="0.3">
      <c r="A557" s="291" t="s">
        <v>56</v>
      </c>
      <c r="B557" s="285">
        <v>936</v>
      </c>
      <c r="C557" s="90" t="s">
        <v>115</v>
      </c>
      <c r="D557" s="286" t="s">
        <v>189</v>
      </c>
      <c r="E557" s="90" t="s">
        <v>428</v>
      </c>
      <c r="F557" s="90" t="s">
        <v>57</v>
      </c>
      <c r="G557" s="289">
        <v>0</v>
      </c>
      <c r="H557" s="116"/>
      <c r="I557" s="117"/>
      <c r="J557" s="116"/>
      <c r="K557" s="80"/>
      <c r="L557" s="79"/>
      <c r="M557" s="79"/>
      <c r="Z557">
        <v>9.5</v>
      </c>
      <c r="AG557" s="79">
        <v>169.9</v>
      </c>
      <c r="AH557" s="79"/>
      <c r="AK557" s="79">
        <v>0</v>
      </c>
      <c r="AP557" s="151">
        <v>323</v>
      </c>
      <c r="BK557" s="226">
        <v>87.7</v>
      </c>
      <c r="BY557" s="151">
        <v>358</v>
      </c>
      <c r="CI557" s="194">
        <v>191.1</v>
      </c>
      <c r="CW557" s="268">
        <v>428.8</v>
      </c>
      <c r="DI557" s="270">
        <v>39.6</v>
      </c>
      <c r="DT557" s="99">
        <f t="shared" si="10"/>
        <v>0</v>
      </c>
    </row>
    <row r="558" spans="1:124" ht="44.25" hidden="1" customHeight="1" x14ac:dyDescent="0.3">
      <c r="A558" s="292" t="s">
        <v>378</v>
      </c>
      <c r="B558" s="285">
        <v>936</v>
      </c>
      <c r="C558" s="90" t="s">
        <v>115</v>
      </c>
      <c r="D558" s="286" t="s">
        <v>189</v>
      </c>
      <c r="E558" s="90" t="s">
        <v>429</v>
      </c>
      <c r="F558" s="90" t="s">
        <v>50</v>
      </c>
      <c r="G558" s="289">
        <f>G559</f>
        <v>0</v>
      </c>
      <c r="H558" s="116"/>
      <c r="I558" s="117"/>
      <c r="J558" s="116"/>
      <c r="K558" s="80"/>
      <c r="L558" s="79"/>
      <c r="M558" s="79"/>
      <c r="AG558" s="79"/>
      <c r="AH558" s="79"/>
      <c r="DT558" s="99">
        <f t="shared" si="10"/>
        <v>0</v>
      </c>
    </row>
    <row r="559" spans="1:124" ht="93.75" hidden="1" x14ac:dyDescent="0.3">
      <c r="A559" s="291" t="s">
        <v>56</v>
      </c>
      <c r="B559" s="285">
        <v>936</v>
      </c>
      <c r="C559" s="90" t="s">
        <v>115</v>
      </c>
      <c r="D559" s="286" t="s">
        <v>189</v>
      </c>
      <c r="E559" s="90" t="s">
        <v>429</v>
      </c>
      <c r="F559" s="90" t="s">
        <v>57</v>
      </c>
      <c r="G559" s="289">
        <v>0</v>
      </c>
      <c r="H559" s="116"/>
      <c r="I559" s="117"/>
      <c r="J559" s="116"/>
      <c r="K559" s="80"/>
      <c r="L559" s="79"/>
      <c r="M559" s="79"/>
      <c r="AG559" s="79"/>
      <c r="AH559" s="79"/>
      <c r="DT559" s="99">
        <f t="shared" si="10"/>
        <v>0</v>
      </c>
    </row>
    <row r="560" spans="1:124" ht="75" hidden="1" x14ac:dyDescent="0.3">
      <c r="A560" s="291" t="s">
        <v>173</v>
      </c>
      <c r="B560" s="285">
        <v>936</v>
      </c>
      <c r="C560" s="90" t="s">
        <v>115</v>
      </c>
      <c r="D560" s="90" t="s">
        <v>189</v>
      </c>
      <c r="E560" s="293" t="s">
        <v>1158</v>
      </c>
      <c r="F560" s="90" t="s">
        <v>50</v>
      </c>
      <c r="G560" s="289">
        <f>G561</f>
        <v>0</v>
      </c>
      <c r="H560" s="116"/>
      <c r="I560" s="117"/>
      <c r="J560" s="116"/>
      <c r="K560" s="80"/>
      <c r="L560" s="79"/>
      <c r="M560" s="79"/>
      <c r="AG560" s="79"/>
      <c r="AH560" s="79"/>
      <c r="DT560" s="99">
        <f t="shared" si="10"/>
        <v>0</v>
      </c>
    </row>
    <row r="561" spans="1:124" ht="73.5" hidden="1" customHeight="1" x14ac:dyDescent="0.3">
      <c r="A561" s="294" t="s">
        <v>533</v>
      </c>
      <c r="B561" s="285">
        <v>936</v>
      </c>
      <c r="C561" s="90" t="s">
        <v>115</v>
      </c>
      <c r="D561" s="90" t="s">
        <v>189</v>
      </c>
      <c r="E561" s="293" t="s">
        <v>1158</v>
      </c>
      <c r="F561" s="90" t="s">
        <v>50</v>
      </c>
      <c r="G561" s="289">
        <f>G562</f>
        <v>0</v>
      </c>
      <c r="H561" s="116"/>
      <c r="I561" s="117"/>
      <c r="J561" s="116"/>
      <c r="K561" s="80"/>
      <c r="L561" s="79"/>
      <c r="M561" s="79"/>
      <c r="AG561" s="79"/>
      <c r="AH561" s="79"/>
      <c r="DT561" s="99">
        <f t="shared" si="10"/>
        <v>0</v>
      </c>
    </row>
    <row r="562" spans="1:124" ht="37.5" hidden="1" x14ac:dyDescent="0.3">
      <c r="A562" s="291" t="s">
        <v>425</v>
      </c>
      <c r="B562" s="285">
        <v>936</v>
      </c>
      <c r="C562" s="90" t="s">
        <v>115</v>
      </c>
      <c r="D562" s="90" t="s">
        <v>189</v>
      </c>
      <c r="E562" s="293" t="s">
        <v>1158</v>
      </c>
      <c r="F562" s="90" t="s">
        <v>59</v>
      </c>
      <c r="G562" s="289">
        <v>0</v>
      </c>
      <c r="H562" s="116"/>
      <c r="I562" s="117">
        <v>184.6</v>
      </c>
      <c r="J562" s="116"/>
      <c r="K562" s="80"/>
      <c r="L562" s="79"/>
      <c r="M562" s="79"/>
      <c r="AG562" s="79"/>
      <c r="AH562" s="79"/>
      <c r="AK562" s="79">
        <v>182.7</v>
      </c>
      <c r="BO562" s="238">
        <v>195.4</v>
      </c>
      <c r="CQ562" s="99">
        <v>197</v>
      </c>
      <c r="DN562" s="274">
        <v>913.7</v>
      </c>
      <c r="DT562" s="99">
        <f t="shared" si="10"/>
        <v>913.7</v>
      </c>
    </row>
    <row r="563" spans="1:124" ht="56.25" hidden="1" x14ac:dyDescent="0.3">
      <c r="A563" s="156" t="s">
        <v>161</v>
      </c>
      <c r="B563" s="13">
        <v>936</v>
      </c>
      <c r="C563" s="14" t="s">
        <v>115</v>
      </c>
      <c r="D563" s="14" t="s">
        <v>189</v>
      </c>
      <c r="E563" s="15" t="s">
        <v>99</v>
      </c>
      <c r="F563" s="14" t="s">
        <v>50</v>
      </c>
      <c r="G563" s="57">
        <f>G564+G567+G570+G572</f>
        <v>0</v>
      </c>
      <c r="H563" s="116"/>
      <c r="I563" s="117"/>
      <c r="J563" s="116"/>
      <c r="K563" s="80"/>
      <c r="L563" s="79"/>
      <c r="M563" s="79"/>
      <c r="AG563" s="79"/>
      <c r="AH563" s="79"/>
      <c r="DT563" s="99">
        <f t="shared" si="10"/>
        <v>0</v>
      </c>
    </row>
    <row r="564" spans="1:124" ht="53.25" hidden="1" customHeight="1" x14ac:dyDescent="0.3">
      <c r="A564" s="156" t="s">
        <v>8</v>
      </c>
      <c r="B564" s="13">
        <v>936</v>
      </c>
      <c r="C564" s="14" t="s">
        <v>115</v>
      </c>
      <c r="D564" s="14" t="s">
        <v>189</v>
      </c>
      <c r="E564" s="15" t="s">
        <v>100</v>
      </c>
      <c r="F564" s="14" t="s">
        <v>50</v>
      </c>
      <c r="G564" s="228">
        <f>G566</f>
        <v>0</v>
      </c>
      <c r="H564" s="116"/>
      <c r="I564" s="117"/>
      <c r="J564" s="116"/>
      <c r="K564" s="80"/>
      <c r="L564" s="79"/>
      <c r="M564" s="79"/>
      <c r="AG564" s="79"/>
      <c r="AH564" s="79"/>
      <c r="DT564" s="99">
        <f t="shared" si="10"/>
        <v>0</v>
      </c>
    </row>
    <row r="565" spans="1:124" ht="56.25" hidden="1" x14ac:dyDescent="0.3">
      <c r="A565" s="164" t="s">
        <v>493</v>
      </c>
      <c r="B565" s="13">
        <v>936</v>
      </c>
      <c r="C565" s="14" t="s">
        <v>115</v>
      </c>
      <c r="D565" s="6" t="s">
        <v>189</v>
      </c>
      <c r="E565" s="15" t="s">
        <v>474</v>
      </c>
      <c r="F565" s="14" t="s">
        <v>50</v>
      </c>
      <c r="G565" s="228">
        <f>G566</f>
        <v>0</v>
      </c>
      <c r="H565" s="116"/>
      <c r="I565" s="117"/>
      <c r="J565" s="116"/>
      <c r="K565" s="80"/>
      <c r="L565" s="79"/>
      <c r="M565" s="79"/>
      <c r="AG565" s="79"/>
      <c r="AH565" s="79"/>
      <c r="DT565" s="99">
        <f t="shared" si="10"/>
        <v>0</v>
      </c>
    </row>
    <row r="566" spans="1:124" ht="31.5" hidden="1" customHeight="1" x14ac:dyDescent="0.3">
      <c r="A566" s="229" t="s">
        <v>60</v>
      </c>
      <c r="B566" s="13">
        <v>936</v>
      </c>
      <c r="C566" s="14" t="s">
        <v>115</v>
      </c>
      <c r="D566" s="6" t="s">
        <v>189</v>
      </c>
      <c r="E566" s="15" t="s">
        <v>474</v>
      </c>
      <c r="F566" s="14" t="s">
        <v>61</v>
      </c>
      <c r="G566" s="57">
        <v>0</v>
      </c>
      <c r="H566" s="116"/>
      <c r="I566" s="117"/>
      <c r="J566" s="116"/>
      <c r="K566" s="80"/>
      <c r="L566" s="79"/>
      <c r="M566" s="79"/>
      <c r="AG566" s="79"/>
      <c r="AH566" s="79"/>
      <c r="AZ566" s="226">
        <v>37.5</v>
      </c>
      <c r="BE566" s="226">
        <f>30+50</f>
        <v>80</v>
      </c>
      <c r="BL566" s="194">
        <v>118.2</v>
      </c>
      <c r="CD566" s="226">
        <v>50</v>
      </c>
      <c r="DT566" s="99">
        <f t="shared" si="10"/>
        <v>0</v>
      </c>
    </row>
    <row r="567" spans="1:124" ht="57" hidden="1" customHeight="1" x14ac:dyDescent="0.3">
      <c r="A567" s="156" t="s">
        <v>9</v>
      </c>
      <c r="B567" s="13">
        <v>936</v>
      </c>
      <c r="C567" s="14" t="s">
        <v>115</v>
      </c>
      <c r="D567" s="6" t="s">
        <v>189</v>
      </c>
      <c r="E567" s="15" t="s">
        <v>101</v>
      </c>
      <c r="F567" s="14" t="s">
        <v>50</v>
      </c>
      <c r="G567" s="57">
        <f>G568</f>
        <v>0</v>
      </c>
      <c r="H567" s="116"/>
      <c r="I567" s="117"/>
      <c r="J567" s="116"/>
      <c r="K567" s="80"/>
      <c r="L567" s="79"/>
      <c r="M567" s="79"/>
      <c r="AG567" s="79"/>
      <c r="AH567" s="79"/>
      <c r="DT567" s="99">
        <f t="shared" si="10"/>
        <v>0</v>
      </c>
    </row>
    <row r="568" spans="1:124" ht="57" hidden="1" customHeight="1" x14ac:dyDescent="0.3">
      <c r="A568" s="164" t="s">
        <v>493</v>
      </c>
      <c r="B568" s="13">
        <v>936</v>
      </c>
      <c r="C568" s="14" t="s">
        <v>115</v>
      </c>
      <c r="D568" s="6" t="s">
        <v>189</v>
      </c>
      <c r="E568" s="15" t="s">
        <v>494</v>
      </c>
      <c r="F568" s="14" t="s">
        <v>50</v>
      </c>
      <c r="G568" s="57">
        <f>G569</f>
        <v>0</v>
      </c>
      <c r="H568" s="116"/>
      <c r="I568" s="117"/>
      <c r="J568" s="116"/>
      <c r="K568" s="80"/>
      <c r="L568" s="79"/>
      <c r="M568" s="79"/>
      <c r="AG568" s="79"/>
      <c r="AH568" s="79"/>
      <c r="DT568" s="99">
        <f t="shared" si="10"/>
        <v>0</v>
      </c>
    </row>
    <row r="569" spans="1:124" ht="24.75" hidden="1" customHeight="1" x14ac:dyDescent="0.3">
      <c r="A569" s="143" t="s">
        <v>60</v>
      </c>
      <c r="B569" s="13">
        <v>936</v>
      </c>
      <c r="C569" s="14" t="s">
        <v>115</v>
      </c>
      <c r="D569" s="6" t="s">
        <v>189</v>
      </c>
      <c r="E569" s="15" t="s">
        <v>494</v>
      </c>
      <c r="F569" s="14" t="s">
        <v>61</v>
      </c>
      <c r="G569" s="57">
        <v>0</v>
      </c>
      <c r="H569" s="125"/>
      <c r="I569" s="126"/>
      <c r="J569" s="125"/>
      <c r="K569" s="80"/>
      <c r="L569" s="79"/>
      <c r="M569" s="79"/>
      <c r="U569">
        <v>56</v>
      </c>
      <c r="Z569">
        <v>90.3</v>
      </c>
      <c r="AC569">
        <v>37.5</v>
      </c>
      <c r="AE569">
        <v>37.5</v>
      </c>
      <c r="AG569" s="79"/>
      <c r="AH569" s="79"/>
      <c r="AK569" s="79">
        <v>0</v>
      </c>
      <c r="BH569" s="233">
        <v>4.95</v>
      </c>
      <c r="DT569" s="99">
        <f t="shared" si="10"/>
        <v>0</v>
      </c>
    </row>
    <row r="570" spans="1:124" ht="42" hidden="1" customHeight="1" x14ac:dyDescent="0.3">
      <c r="A570" s="162" t="s">
        <v>10</v>
      </c>
      <c r="B570" s="13">
        <v>936</v>
      </c>
      <c r="C570" s="14" t="s">
        <v>115</v>
      </c>
      <c r="D570" s="6" t="s">
        <v>189</v>
      </c>
      <c r="E570" s="15" t="s">
        <v>28</v>
      </c>
      <c r="F570" s="14" t="s">
        <v>50</v>
      </c>
      <c r="G570" s="57">
        <f>G571</f>
        <v>0</v>
      </c>
      <c r="H570" s="116"/>
      <c r="I570" s="117"/>
      <c r="J570" s="116"/>
      <c r="K570" s="80"/>
      <c r="L570" s="79"/>
      <c r="M570" s="79"/>
      <c r="AG570" s="79"/>
      <c r="AH570" s="79"/>
      <c r="DT570" s="99">
        <f t="shared" si="10"/>
        <v>0</v>
      </c>
    </row>
    <row r="571" spans="1:124" ht="24.75" hidden="1" customHeight="1" x14ac:dyDescent="0.3">
      <c r="A571" s="143" t="s">
        <v>60</v>
      </c>
      <c r="B571" s="13">
        <v>936</v>
      </c>
      <c r="C571" s="14" t="s">
        <v>115</v>
      </c>
      <c r="D571" s="6" t="s">
        <v>189</v>
      </c>
      <c r="E571" s="15" t="s">
        <v>617</v>
      </c>
      <c r="F571" s="14" t="s">
        <v>61</v>
      </c>
      <c r="G571" s="57">
        <v>0</v>
      </c>
      <c r="H571" s="125"/>
      <c r="I571" s="126"/>
      <c r="J571" s="125"/>
      <c r="K571" s="80"/>
      <c r="L571" s="79"/>
      <c r="M571" s="79"/>
      <c r="AE571">
        <v>41.828000000000003</v>
      </c>
      <c r="AG571" s="79"/>
      <c r="AH571" s="79">
        <v>24.849029999999999</v>
      </c>
      <c r="AK571" s="79">
        <v>0</v>
      </c>
      <c r="AS571" s="194">
        <v>53.128999999999998</v>
      </c>
      <c r="AU571">
        <v>60</v>
      </c>
      <c r="AX571" s="101">
        <v>42</v>
      </c>
      <c r="BX571" s="151">
        <v>3.4569000000000001</v>
      </c>
      <c r="CY571" s="194">
        <v>100</v>
      </c>
      <c r="CZ571" s="194">
        <v>25</v>
      </c>
      <c r="DT571" s="99">
        <f t="shared" si="10"/>
        <v>0</v>
      </c>
    </row>
    <row r="572" spans="1:124" ht="24.75" hidden="1" customHeight="1" x14ac:dyDescent="0.3">
      <c r="A572" s="143" t="s">
        <v>409</v>
      </c>
      <c r="B572" s="13">
        <v>936</v>
      </c>
      <c r="C572" s="14" t="s">
        <v>115</v>
      </c>
      <c r="D572" s="6" t="s">
        <v>189</v>
      </c>
      <c r="E572" s="36" t="s">
        <v>421</v>
      </c>
      <c r="F572" s="14" t="s">
        <v>50</v>
      </c>
      <c r="G572" s="72">
        <f>G573</f>
        <v>0</v>
      </c>
      <c r="H572" s="116"/>
      <c r="I572" s="117"/>
      <c r="J572" s="116"/>
      <c r="K572" s="80"/>
      <c r="L572" s="79"/>
      <c r="M572" s="79"/>
      <c r="AG572" s="79"/>
      <c r="AH572" s="79"/>
      <c r="DT572" s="99">
        <f t="shared" si="10"/>
        <v>0</v>
      </c>
    </row>
    <row r="573" spans="1:124" ht="62.25" hidden="1" customHeight="1" x14ac:dyDescent="0.3">
      <c r="A573" s="164" t="s">
        <v>493</v>
      </c>
      <c r="B573" s="13">
        <v>936</v>
      </c>
      <c r="C573" s="14" t="s">
        <v>115</v>
      </c>
      <c r="D573" s="6" t="s">
        <v>189</v>
      </c>
      <c r="E573" s="36" t="s">
        <v>631</v>
      </c>
      <c r="F573" s="14" t="s">
        <v>50</v>
      </c>
      <c r="G573" s="72">
        <f>G574</f>
        <v>0</v>
      </c>
      <c r="H573" s="116"/>
      <c r="I573" s="117"/>
      <c r="J573" s="116"/>
      <c r="K573" s="80"/>
      <c r="L573" s="79"/>
      <c r="M573" s="79"/>
      <c r="AG573" s="79"/>
      <c r="AH573" s="79"/>
      <c r="DT573" s="99">
        <f t="shared" si="10"/>
        <v>0</v>
      </c>
    </row>
    <row r="574" spans="1:124" ht="24.75" hidden="1" customHeight="1" x14ac:dyDescent="0.3">
      <c r="A574" s="143" t="s">
        <v>60</v>
      </c>
      <c r="B574" s="13">
        <v>936</v>
      </c>
      <c r="C574" s="14" t="s">
        <v>115</v>
      </c>
      <c r="D574" s="6" t="s">
        <v>189</v>
      </c>
      <c r="E574" s="36" t="s">
        <v>631</v>
      </c>
      <c r="F574" s="14" t="s">
        <v>61</v>
      </c>
      <c r="G574" s="57">
        <v>0</v>
      </c>
      <c r="H574" s="125"/>
      <c r="I574" s="126"/>
      <c r="J574" s="125"/>
      <c r="K574" s="80"/>
      <c r="L574" s="79"/>
      <c r="M574" s="79"/>
      <c r="AG574" s="79"/>
      <c r="AH574" s="79"/>
      <c r="AK574" s="79">
        <v>0</v>
      </c>
      <c r="DT574" s="99">
        <f t="shared" si="10"/>
        <v>0</v>
      </c>
    </row>
    <row r="575" spans="1:124" ht="60.75" customHeight="1" x14ac:dyDescent="0.3">
      <c r="A575" s="156" t="s">
        <v>13</v>
      </c>
      <c r="B575" s="13">
        <v>936</v>
      </c>
      <c r="C575" s="14" t="s">
        <v>115</v>
      </c>
      <c r="D575" s="14" t="s">
        <v>189</v>
      </c>
      <c r="E575" s="15" t="s">
        <v>135</v>
      </c>
      <c r="F575" s="14" t="s">
        <v>50</v>
      </c>
      <c r="G575" s="57">
        <f>G576</f>
        <v>40</v>
      </c>
      <c r="H575" s="116"/>
      <c r="I575" s="117"/>
      <c r="J575" s="116"/>
      <c r="K575" s="80"/>
      <c r="L575" s="79"/>
      <c r="M575" s="79"/>
      <c r="AG575" s="79"/>
      <c r="AH575" s="79"/>
      <c r="DT575" s="99">
        <f t="shared" si="10"/>
        <v>0</v>
      </c>
    </row>
    <row r="576" spans="1:124" ht="56.25" x14ac:dyDescent="0.3">
      <c r="A576" s="156" t="s">
        <v>14</v>
      </c>
      <c r="B576" s="13">
        <v>936</v>
      </c>
      <c r="C576" s="14" t="s">
        <v>115</v>
      </c>
      <c r="D576" s="14" t="s">
        <v>189</v>
      </c>
      <c r="E576" s="15" t="s">
        <v>30</v>
      </c>
      <c r="F576" s="14" t="s">
        <v>50</v>
      </c>
      <c r="G576" s="57">
        <f>G577</f>
        <v>40</v>
      </c>
      <c r="H576" s="116"/>
      <c r="I576" s="117"/>
      <c r="J576" s="116"/>
      <c r="K576" s="80"/>
      <c r="L576" s="79"/>
      <c r="M576" s="79"/>
      <c r="AG576" s="79"/>
      <c r="AH576" s="79"/>
      <c r="DT576" s="99">
        <f t="shared" si="10"/>
        <v>0</v>
      </c>
    </row>
    <row r="577" spans="1:124" x14ac:dyDescent="0.3">
      <c r="A577" s="143" t="s">
        <v>62</v>
      </c>
      <c r="B577" s="13">
        <v>936</v>
      </c>
      <c r="C577" s="14" t="s">
        <v>115</v>
      </c>
      <c r="D577" s="6" t="s">
        <v>189</v>
      </c>
      <c r="E577" s="14" t="s">
        <v>219</v>
      </c>
      <c r="F577" s="14" t="s">
        <v>50</v>
      </c>
      <c r="G577" s="57">
        <f>G578</f>
        <v>40</v>
      </c>
      <c r="H577" s="116"/>
      <c r="I577" s="117"/>
      <c r="J577" s="116"/>
      <c r="K577" s="80"/>
      <c r="L577" s="79"/>
      <c r="M577" s="79"/>
      <c r="AG577" s="79"/>
      <c r="AH577" s="79"/>
      <c r="DT577" s="99">
        <f t="shared" si="10"/>
        <v>0</v>
      </c>
    </row>
    <row r="578" spans="1:124" x14ac:dyDescent="0.3">
      <c r="A578" s="143" t="s">
        <v>218</v>
      </c>
      <c r="B578" s="13">
        <v>936</v>
      </c>
      <c r="C578" s="14" t="s">
        <v>115</v>
      </c>
      <c r="D578" s="6" t="s">
        <v>189</v>
      </c>
      <c r="E578" s="14" t="s">
        <v>220</v>
      </c>
      <c r="F578" s="14" t="s">
        <v>50</v>
      </c>
      <c r="G578" s="57">
        <f>G579</f>
        <v>40</v>
      </c>
      <c r="H578" s="116"/>
      <c r="I578" s="117"/>
      <c r="J578" s="116"/>
      <c r="K578" s="80"/>
      <c r="L578" s="79"/>
      <c r="M578" s="79"/>
      <c r="AG578" s="79"/>
      <c r="AH578" s="79"/>
      <c r="DT578" s="99">
        <f t="shared" si="10"/>
        <v>0</v>
      </c>
    </row>
    <row r="579" spans="1:124" ht="37.5" x14ac:dyDescent="0.3">
      <c r="A579" s="143" t="s">
        <v>425</v>
      </c>
      <c r="B579" s="13">
        <v>936</v>
      </c>
      <c r="C579" s="14" t="s">
        <v>115</v>
      </c>
      <c r="D579" s="6" t="s">
        <v>189</v>
      </c>
      <c r="E579" s="14" t="s">
        <v>220</v>
      </c>
      <c r="F579" s="14" t="s">
        <v>59</v>
      </c>
      <c r="G579" s="57">
        <f>DT579</f>
        <v>40</v>
      </c>
      <c r="H579" s="127">
        <v>38</v>
      </c>
      <c r="I579" s="128"/>
      <c r="J579" s="127"/>
      <c r="K579" s="80"/>
      <c r="L579" s="79"/>
      <c r="M579" s="79"/>
      <c r="AG579" s="79"/>
      <c r="AH579" s="79"/>
      <c r="AK579" s="79">
        <v>37</v>
      </c>
      <c r="AN579" s="150">
        <v>0.8</v>
      </c>
      <c r="BN579" s="237">
        <v>45</v>
      </c>
      <c r="CR579" s="99">
        <v>34</v>
      </c>
      <c r="DS579" s="99">
        <v>40</v>
      </c>
      <c r="DT579" s="99">
        <f t="shared" si="10"/>
        <v>40</v>
      </c>
    </row>
    <row r="580" spans="1:124" ht="56.25" x14ac:dyDescent="0.3">
      <c r="A580" s="208" t="s">
        <v>16</v>
      </c>
      <c r="B580" s="13">
        <v>936</v>
      </c>
      <c r="C580" s="14" t="s">
        <v>115</v>
      </c>
      <c r="D580" s="6" t="s">
        <v>189</v>
      </c>
      <c r="E580" s="15" t="s">
        <v>32</v>
      </c>
      <c r="F580" s="15" t="s">
        <v>50</v>
      </c>
      <c r="G580" s="57">
        <f>G584+G588+G581+G605</f>
        <v>21011.8</v>
      </c>
      <c r="H580" s="116"/>
      <c r="I580" s="117"/>
      <c r="J580" s="116"/>
      <c r="K580" s="80"/>
      <c r="L580" s="79"/>
      <c r="M580" s="79"/>
      <c r="AG580" s="79"/>
      <c r="AH580" s="79"/>
      <c r="DT580" s="99">
        <f t="shared" si="10"/>
        <v>0</v>
      </c>
    </row>
    <row r="581" spans="1:124" ht="37.5" hidden="1" outlineLevel="1" x14ac:dyDescent="0.3">
      <c r="A581" s="180" t="s">
        <v>17</v>
      </c>
      <c r="B581" s="13">
        <v>936</v>
      </c>
      <c r="C581" s="14" t="s">
        <v>115</v>
      </c>
      <c r="D581" s="6" t="s">
        <v>189</v>
      </c>
      <c r="E581" s="15" t="s">
        <v>33</v>
      </c>
      <c r="F581" s="20" t="s">
        <v>50</v>
      </c>
      <c r="G581" s="57"/>
      <c r="H581" s="116"/>
      <c r="I581" s="117"/>
      <c r="J581" s="116"/>
      <c r="K581" s="80"/>
      <c r="L581" s="79"/>
      <c r="M581" s="79"/>
      <c r="AG581" s="79"/>
      <c r="AH581" s="79"/>
      <c r="DT581" s="99">
        <f t="shared" si="10"/>
        <v>0</v>
      </c>
    </row>
    <row r="582" spans="1:124" hidden="1" outlineLevel="1" x14ac:dyDescent="0.3">
      <c r="A582" s="163" t="s">
        <v>211</v>
      </c>
      <c r="B582" s="13">
        <v>936</v>
      </c>
      <c r="C582" s="14" t="s">
        <v>115</v>
      </c>
      <c r="D582" s="6" t="s">
        <v>189</v>
      </c>
      <c r="E582" s="44" t="s">
        <v>360</v>
      </c>
      <c r="F582" s="44" t="s">
        <v>50</v>
      </c>
      <c r="G582" s="57"/>
      <c r="H582" s="116"/>
      <c r="I582" s="117"/>
      <c r="J582" s="116"/>
      <c r="K582" s="80"/>
      <c r="L582" s="79"/>
      <c r="M582" s="79"/>
      <c r="AG582" s="79"/>
      <c r="AH582" s="79"/>
      <c r="DT582" s="99">
        <f t="shared" si="10"/>
        <v>0</v>
      </c>
    </row>
    <row r="583" spans="1:124" ht="37.5" hidden="1" outlineLevel="1" x14ac:dyDescent="0.3">
      <c r="A583" s="163" t="s">
        <v>58</v>
      </c>
      <c r="B583" s="13">
        <v>936</v>
      </c>
      <c r="C583" s="14" t="s">
        <v>115</v>
      </c>
      <c r="D583" s="6" t="s">
        <v>189</v>
      </c>
      <c r="E583" s="44" t="s">
        <v>360</v>
      </c>
      <c r="F583" s="44" t="s">
        <v>59</v>
      </c>
      <c r="G583" s="57"/>
      <c r="H583" s="116"/>
      <c r="I583" s="117"/>
      <c r="J583" s="116"/>
      <c r="K583" s="80"/>
      <c r="L583" s="79"/>
      <c r="M583" s="79"/>
      <c r="AG583" s="79"/>
      <c r="AH583" s="79"/>
      <c r="DT583" s="99">
        <f t="shared" si="10"/>
        <v>0</v>
      </c>
    </row>
    <row r="584" spans="1:124" ht="39" customHeight="1" collapsed="1" x14ac:dyDescent="0.3">
      <c r="A584" s="162" t="s">
        <v>18</v>
      </c>
      <c r="B584" s="13">
        <v>936</v>
      </c>
      <c r="C584" s="14" t="s">
        <v>115</v>
      </c>
      <c r="D584" s="6" t="s">
        <v>189</v>
      </c>
      <c r="E584" s="15" t="s">
        <v>34</v>
      </c>
      <c r="F584" s="15" t="s">
        <v>50</v>
      </c>
      <c r="G584" s="57">
        <f>G585</f>
        <v>58</v>
      </c>
      <c r="H584" s="116"/>
      <c r="I584" s="117"/>
      <c r="J584" s="116"/>
      <c r="K584" s="80"/>
      <c r="L584" s="79"/>
      <c r="M584" s="79"/>
      <c r="AG584" s="79"/>
      <c r="AH584" s="79"/>
      <c r="DT584" s="99">
        <f t="shared" si="10"/>
        <v>0</v>
      </c>
    </row>
    <row r="585" spans="1:124" ht="25.5" customHeight="1" x14ac:dyDescent="0.3">
      <c r="A585" s="163" t="s">
        <v>62</v>
      </c>
      <c r="B585" s="13">
        <v>936</v>
      </c>
      <c r="C585" s="14" t="s">
        <v>115</v>
      </c>
      <c r="D585" s="6" t="s">
        <v>189</v>
      </c>
      <c r="E585" s="15" t="s">
        <v>350</v>
      </c>
      <c r="F585" s="15" t="s">
        <v>50</v>
      </c>
      <c r="G585" s="57">
        <f>G586</f>
        <v>58</v>
      </c>
      <c r="H585" s="116"/>
      <c r="I585" s="117"/>
      <c r="J585" s="116"/>
      <c r="K585" s="80"/>
      <c r="L585" s="79"/>
      <c r="M585" s="79"/>
      <c r="AG585" s="79"/>
      <c r="AH585" s="79"/>
      <c r="DT585" s="99">
        <f t="shared" si="10"/>
        <v>0</v>
      </c>
    </row>
    <row r="586" spans="1:124" x14ac:dyDescent="0.3">
      <c r="A586" s="143" t="s">
        <v>227</v>
      </c>
      <c r="B586" s="13">
        <v>936</v>
      </c>
      <c r="C586" s="14" t="s">
        <v>115</v>
      </c>
      <c r="D586" s="6" t="s">
        <v>189</v>
      </c>
      <c r="E586" s="14" t="s">
        <v>228</v>
      </c>
      <c r="F586" s="14" t="s">
        <v>50</v>
      </c>
      <c r="G586" s="57">
        <f>G587</f>
        <v>58</v>
      </c>
      <c r="H586" s="116"/>
      <c r="I586" s="117"/>
      <c r="J586" s="116"/>
      <c r="K586" s="80"/>
      <c r="L586" s="79"/>
      <c r="M586" s="79"/>
      <c r="AG586" s="79"/>
      <c r="AH586" s="79"/>
      <c r="DT586" s="99">
        <f t="shared" ref="DT586:DT649" si="11">DN586+DO586+DP586+DQ586+DR586+DS586</f>
        <v>0</v>
      </c>
    </row>
    <row r="587" spans="1:124" ht="25.5" customHeight="1" x14ac:dyDescent="0.3">
      <c r="A587" s="143" t="s">
        <v>60</v>
      </c>
      <c r="B587" s="13">
        <v>936</v>
      </c>
      <c r="C587" s="14" t="s">
        <v>115</v>
      </c>
      <c r="D587" s="6" t="s">
        <v>189</v>
      </c>
      <c r="E587" s="14" t="s">
        <v>228</v>
      </c>
      <c r="F587" s="14" t="s">
        <v>61</v>
      </c>
      <c r="G587" s="57">
        <f>DT587</f>
        <v>58</v>
      </c>
      <c r="H587" s="116"/>
      <c r="I587" s="117"/>
      <c r="J587" s="116"/>
      <c r="K587" s="80"/>
      <c r="L587" s="79"/>
      <c r="M587" s="79">
        <v>21.5</v>
      </c>
      <c r="N587">
        <v>1.57</v>
      </c>
      <c r="AG587" s="79"/>
      <c r="AH587" s="79"/>
      <c r="AK587" s="79">
        <v>92.4</v>
      </c>
      <c r="AV587" s="194">
        <v>50</v>
      </c>
      <c r="AY587" s="226">
        <v>1680.1586299999999</v>
      </c>
      <c r="BJ587" s="194">
        <v>2.464</v>
      </c>
      <c r="BL587" s="194">
        <v>54.463999999999999</v>
      </c>
      <c r="BN587" s="237">
        <v>50</v>
      </c>
      <c r="CL587" s="194">
        <v>32.436999999999998</v>
      </c>
      <c r="CP587" s="259">
        <v>0.7</v>
      </c>
      <c r="CR587" s="99">
        <f>58+123</f>
        <v>181</v>
      </c>
      <c r="DC587" s="194">
        <v>88.5</v>
      </c>
      <c r="DS587" s="99">
        <v>58</v>
      </c>
      <c r="DT587" s="99">
        <f t="shared" si="11"/>
        <v>58</v>
      </c>
    </row>
    <row r="588" spans="1:124" x14ac:dyDescent="0.3">
      <c r="A588" s="143" t="s">
        <v>409</v>
      </c>
      <c r="B588" s="13">
        <v>936</v>
      </c>
      <c r="C588" s="14" t="s">
        <v>115</v>
      </c>
      <c r="D588" s="14" t="s">
        <v>189</v>
      </c>
      <c r="E588" s="14" t="s">
        <v>44</v>
      </c>
      <c r="F588" s="14" t="s">
        <v>50</v>
      </c>
      <c r="G588" s="57">
        <f>G589+G600+G597+G603</f>
        <v>20953.8</v>
      </c>
      <c r="H588" s="116"/>
      <c r="I588" s="117"/>
      <c r="J588" s="116"/>
      <c r="K588" s="80"/>
      <c r="L588" s="79"/>
      <c r="M588" s="79"/>
      <c r="AG588" s="79"/>
      <c r="AH588" s="79"/>
      <c r="DT588" s="99">
        <f t="shared" si="11"/>
        <v>0</v>
      </c>
    </row>
    <row r="589" spans="1:124" ht="37.5" x14ac:dyDescent="0.3">
      <c r="A589" s="143" t="s">
        <v>52</v>
      </c>
      <c r="B589" s="13">
        <v>936</v>
      </c>
      <c r="C589" s="14" t="s">
        <v>115</v>
      </c>
      <c r="D589" s="14" t="s">
        <v>189</v>
      </c>
      <c r="E589" s="14" t="s">
        <v>230</v>
      </c>
      <c r="F589" s="14" t="s">
        <v>50</v>
      </c>
      <c r="G589" s="57">
        <f>G590+G594</f>
        <v>20933.5</v>
      </c>
      <c r="H589" s="116"/>
      <c r="I589" s="117"/>
      <c r="J589" s="116"/>
      <c r="K589" s="80"/>
      <c r="L589" s="79"/>
      <c r="M589" s="79"/>
      <c r="AG589" s="79"/>
      <c r="AH589" s="79"/>
      <c r="DT589" s="99">
        <f t="shared" si="11"/>
        <v>0</v>
      </c>
    </row>
    <row r="590" spans="1:124" ht="37.5" x14ac:dyDescent="0.3">
      <c r="A590" s="143" t="s">
        <v>229</v>
      </c>
      <c r="B590" s="13">
        <v>936</v>
      </c>
      <c r="C590" s="14" t="s">
        <v>115</v>
      </c>
      <c r="D590" s="14" t="s">
        <v>189</v>
      </c>
      <c r="E590" s="14" t="s">
        <v>231</v>
      </c>
      <c r="F590" s="14" t="s">
        <v>50</v>
      </c>
      <c r="G590" s="57">
        <f>G591+G592+G593</f>
        <v>20933.5</v>
      </c>
      <c r="H590" s="116"/>
      <c r="I590" s="117"/>
      <c r="J590" s="116"/>
      <c r="K590" s="80"/>
      <c r="L590" s="79"/>
      <c r="M590" s="79"/>
      <c r="AG590" s="79"/>
      <c r="AH590" s="79"/>
      <c r="DT590" s="99">
        <f t="shared" si="11"/>
        <v>0</v>
      </c>
    </row>
    <row r="591" spans="1:124" ht="93.75" x14ac:dyDescent="0.3">
      <c r="A591" s="143" t="s">
        <v>56</v>
      </c>
      <c r="B591" s="13">
        <v>936</v>
      </c>
      <c r="C591" s="14" t="s">
        <v>115</v>
      </c>
      <c r="D591" s="14" t="s">
        <v>189</v>
      </c>
      <c r="E591" s="14" t="s">
        <v>231</v>
      </c>
      <c r="F591" s="14" t="s">
        <v>57</v>
      </c>
      <c r="G591" s="57">
        <f>DT591</f>
        <v>11011.8</v>
      </c>
      <c r="H591" s="125">
        <v>8925.6</v>
      </c>
      <c r="I591" s="126"/>
      <c r="J591" s="125"/>
      <c r="K591" s="80"/>
      <c r="L591" s="79"/>
      <c r="M591" s="79"/>
      <c r="AG591" s="79"/>
      <c r="AH591" s="79"/>
      <c r="AK591" s="79">
        <v>6979.9</v>
      </c>
      <c r="AS591" s="194">
        <v>2.7185700000000002</v>
      </c>
      <c r="BK591" s="226">
        <v>-600</v>
      </c>
      <c r="BM591" s="100">
        <v>6519.6</v>
      </c>
      <c r="CL591" s="194">
        <v>855</v>
      </c>
      <c r="CP591" s="259">
        <v>1888.6</v>
      </c>
      <c r="CS591" s="264">
        <v>5107</v>
      </c>
      <c r="CZ591" s="194">
        <v>1419</v>
      </c>
      <c r="DC591" s="194">
        <v>2138</v>
      </c>
      <c r="DO591" s="274">
        <v>11011.8</v>
      </c>
      <c r="DT591" s="99">
        <f t="shared" si="11"/>
        <v>11011.8</v>
      </c>
    </row>
    <row r="592" spans="1:124" ht="37.5" x14ac:dyDescent="0.3">
      <c r="A592" s="143" t="s">
        <v>425</v>
      </c>
      <c r="B592" s="13">
        <v>936</v>
      </c>
      <c r="C592" s="14" t="s">
        <v>115</v>
      </c>
      <c r="D592" s="14" t="s">
        <v>189</v>
      </c>
      <c r="E592" s="14" t="s">
        <v>231</v>
      </c>
      <c r="F592" s="14" t="s">
        <v>59</v>
      </c>
      <c r="G592" s="57">
        <f>DT592</f>
        <v>9921.7000000000007</v>
      </c>
      <c r="H592" s="116">
        <f>10064.2+200+0.02</f>
        <v>10264.220000000001</v>
      </c>
      <c r="I592" s="117"/>
      <c r="J592" s="116"/>
      <c r="K592" s="80"/>
      <c r="L592" s="79"/>
      <c r="M592" s="79"/>
      <c r="T592">
        <v>-22</v>
      </c>
      <c r="AC592">
        <v>207.5</v>
      </c>
      <c r="AE592">
        <v>-1758.19211</v>
      </c>
      <c r="AF592">
        <v>-157.84487999999999</v>
      </c>
      <c r="AG592" s="79">
        <v>797.5</v>
      </c>
      <c r="AH592" s="79">
        <v>159</v>
      </c>
      <c r="AK592" s="79">
        <v>8145.6</v>
      </c>
      <c r="AZ592" s="226">
        <v>-779.5</v>
      </c>
      <c r="BH592" s="233">
        <v>-850</v>
      </c>
      <c r="BK592" s="226">
        <v>-68</v>
      </c>
      <c r="BL592" s="194">
        <v>400</v>
      </c>
      <c r="BM592" s="100">
        <v>9433.9</v>
      </c>
      <c r="BU592" s="151">
        <v>-981.21776999999997</v>
      </c>
      <c r="BX592" s="151">
        <v>530</v>
      </c>
      <c r="CD592" s="226">
        <v>-4.0999999999999996</v>
      </c>
      <c r="CF592" s="194">
        <v>-5.5</v>
      </c>
      <c r="CH592" s="258">
        <v>40</v>
      </c>
      <c r="CJ592" s="194">
        <v>385</v>
      </c>
      <c r="CR592" s="99">
        <f>400+800+2500</f>
        <v>3700</v>
      </c>
      <c r="CS592" s="264">
        <f>6575.9+2126-100</f>
        <v>8601.9</v>
      </c>
      <c r="CV592" s="268">
        <v>8700</v>
      </c>
      <c r="CX592" s="270">
        <f>600</f>
        <v>600</v>
      </c>
      <c r="DC592" s="272">
        <f>-18.1-180</f>
        <v>-198.1</v>
      </c>
      <c r="DE592" s="194">
        <v>-29.233059999999998</v>
      </c>
      <c r="DH592" s="194">
        <v>-530</v>
      </c>
      <c r="DJ592" s="194">
        <v>50.2</v>
      </c>
      <c r="DP592" s="99">
        <f>304.4+5358.4+638.2+11.6+51</f>
        <v>6363.5999999999995</v>
      </c>
      <c r="DQ592" s="99">
        <v>30.8</v>
      </c>
      <c r="DR592" s="99">
        <v>3527.3</v>
      </c>
      <c r="DT592" s="99">
        <f t="shared" si="11"/>
        <v>9921.7000000000007</v>
      </c>
    </row>
    <row r="593" spans="1:124" hidden="1" x14ac:dyDescent="0.3">
      <c r="A593" s="143" t="s">
        <v>60</v>
      </c>
      <c r="B593" s="13">
        <v>936</v>
      </c>
      <c r="C593" s="14" t="s">
        <v>115</v>
      </c>
      <c r="D593" s="14" t="s">
        <v>189</v>
      </c>
      <c r="E593" s="14" t="s">
        <v>231</v>
      </c>
      <c r="F593" s="14" t="s">
        <v>61</v>
      </c>
      <c r="G593" s="57">
        <v>0</v>
      </c>
      <c r="H593" s="116"/>
      <c r="I593" s="117"/>
      <c r="J593" s="116"/>
      <c r="K593" s="80"/>
      <c r="L593" s="79"/>
      <c r="M593" s="79"/>
      <c r="N593">
        <f>4</f>
        <v>4</v>
      </c>
      <c r="AG593" s="79"/>
      <c r="AH593" s="79"/>
      <c r="AK593" s="79">
        <v>0</v>
      </c>
      <c r="DT593" s="99">
        <f t="shared" si="11"/>
        <v>0</v>
      </c>
    </row>
    <row r="594" spans="1:124" ht="37.5" hidden="1" x14ac:dyDescent="0.3">
      <c r="A594" s="162" t="s">
        <v>374</v>
      </c>
      <c r="B594" s="13">
        <v>936</v>
      </c>
      <c r="C594" s="14" t="s">
        <v>115</v>
      </c>
      <c r="D594" s="14" t="s">
        <v>189</v>
      </c>
      <c r="E594" s="14" t="s">
        <v>373</v>
      </c>
      <c r="F594" s="14" t="s">
        <v>50</v>
      </c>
      <c r="G594" s="57">
        <f>G596+G595</f>
        <v>0</v>
      </c>
      <c r="H594" s="116"/>
      <c r="I594" s="117"/>
      <c r="J594" s="116"/>
      <c r="K594" s="80"/>
      <c r="L594" s="79"/>
      <c r="M594" s="79"/>
      <c r="AG594" s="79"/>
      <c r="AH594" s="79"/>
      <c r="DT594" s="99">
        <f t="shared" si="11"/>
        <v>0</v>
      </c>
    </row>
    <row r="595" spans="1:124" ht="93.75" hidden="1" x14ac:dyDescent="0.3">
      <c r="A595" s="143" t="s">
        <v>56</v>
      </c>
      <c r="B595" s="13">
        <v>936</v>
      </c>
      <c r="C595" s="14" t="s">
        <v>115</v>
      </c>
      <c r="D595" s="14" t="s">
        <v>189</v>
      </c>
      <c r="E595" s="14" t="s">
        <v>373</v>
      </c>
      <c r="F595" s="14" t="s">
        <v>57</v>
      </c>
      <c r="G595" s="57">
        <v>0</v>
      </c>
      <c r="H595" s="116"/>
      <c r="I595" s="117"/>
      <c r="J595" s="116"/>
      <c r="K595" s="80"/>
      <c r="L595" s="79"/>
      <c r="M595" s="79"/>
      <c r="AG595" s="79">
        <v>456</v>
      </c>
      <c r="AH595" s="79"/>
      <c r="AK595" s="79">
        <v>0</v>
      </c>
      <c r="BK595" s="226">
        <v>140</v>
      </c>
      <c r="DI595" s="270">
        <v>2205.9</v>
      </c>
      <c r="DT595" s="99">
        <f t="shared" si="11"/>
        <v>0</v>
      </c>
    </row>
    <row r="596" spans="1:124" hidden="1" x14ac:dyDescent="0.3">
      <c r="A596" s="143" t="s">
        <v>60</v>
      </c>
      <c r="B596" s="13">
        <v>936</v>
      </c>
      <c r="C596" s="14" t="s">
        <v>115</v>
      </c>
      <c r="D596" s="14" t="s">
        <v>189</v>
      </c>
      <c r="E596" s="14" t="s">
        <v>373</v>
      </c>
      <c r="F596" s="14" t="s">
        <v>61</v>
      </c>
      <c r="G596" s="57">
        <v>0</v>
      </c>
      <c r="H596" s="116"/>
      <c r="I596" s="117"/>
      <c r="J596" s="116"/>
      <c r="K596" s="80"/>
      <c r="L596" s="79"/>
      <c r="M596" s="79"/>
      <c r="AG596" s="79"/>
      <c r="AH596" s="79"/>
      <c r="DT596" s="99">
        <f t="shared" si="11"/>
        <v>0</v>
      </c>
    </row>
    <row r="597" spans="1:124" hidden="1" outlineLevel="1" x14ac:dyDescent="0.3">
      <c r="A597" s="163" t="s">
        <v>62</v>
      </c>
      <c r="B597" s="13">
        <v>936</v>
      </c>
      <c r="C597" s="14" t="s">
        <v>115</v>
      </c>
      <c r="D597" s="14" t="s">
        <v>189</v>
      </c>
      <c r="E597" s="14" t="s">
        <v>390</v>
      </c>
      <c r="F597" s="14" t="s">
        <v>50</v>
      </c>
      <c r="G597" s="57">
        <f>G598</f>
        <v>0</v>
      </c>
      <c r="H597" s="116"/>
      <c r="I597" s="117"/>
      <c r="J597" s="116"/>
      <c r="K597" s="80"/>
      <c r="L597" s="79"/>
      <c r="M597" s="79"/>
      <c r="AG597" s="79"/>
      <c r="AH597" s="79"/>
      <c r="DT597" s="99">
        <f t="shared" si="11"/>
        <v>0</v>
      </c>
    </row>
    <row r="598" spans="1:124" ht="24" hidden="1" customHeight="1" outlineLevel="1" x14ac:dyDescent="0.3">
      <c r="A598" s="143" t="s">
        <v>388</v>
      </c>
      <c r="B598" s="13">
        <v>936</v>
      </c>
      <c r="C598" s="14" t="s">
        <v>115</v>
      </c>
      <c r="D598" s="14" t="s">
        <v>189</v>
      </c>
      <c r="E598" s="14" t="s">
        <v>389</v>
      </c>
      <c r="F598" s="14" t="s">
        <v>50</v>
      </c>
      <c r="G598" s="57">
        <f>G599</f>
        <v>0</v>
      </c>
      <c r="H598" s="116"/>
      <c r="I598" s="117"/>
      <c r="J598" s="116"/>
      <c r="K598" s="80"/>
      <c r="L598" s="79"/>
      <c r="M598" s="79"/>
      <c r="AG598" s="79"/>
      <c r="AH598" s="79"/>
      <c r="DT598" s="99">
        <f t="shared" si="11"/>
        <v>0</v>
      </c>
    </row>
    <row r="599" spans="1:124" ht="37.5" hidden="1" outlineLevel="1" x14ac:dyDescent="0.3">
      <c r="A599" s="143" t="s">
        <v>425</v>
      </c>
      <c r="B599" s="13">
        <v>936</v>
      </c>
      <c r="C599" s="14" t="s">
        <v>115</v>
      </c>
      <c r="D599" s="14" t="s">
        <v>189</v>
      </c>
      <c r="E599" s="14" t="s">
        <v>389</v>
      </c>
      <c r="F599" s="14" t="s">
        <v>59</v>
      </c>
      <c r="G599" s="57">
        <v>0</v>
      </c>
      <c r="H599" s="116"/>
      <c r="I599" s="117"/>
      <c r="J599" s="116"/>
      <c r="K599" s="80"/>
      <c r="L599" s="79"/>
      <c r="M599" s="79"/>
      <c r="AG599" s="79"/>
      <c r="AH599" s="79"/>
      <c r="DT599" s="99">
        <f t="shared" si="11"/>
        <v>0</v>
      </c>
    </row>
    <row r="600" spans="1:124" ht="75" hidden="1" collapsed="1" x14ac:dyDescent="0.3">
      <c r="A600" s="143" t="s">
        <v>173</v>
      </c>
      <c r="B600" s="13">
        <v>936</v>
      </c>
      <c r="C600" s="14" t="s">
        <v>115</v>
      </c>
      <c r="D600" s="14" t="s">
        <v>189</v>
      </c>
      <c r="E600" s="14" t="s">
        <v>844</v>
      </c>
      <c r="F600" s="14" t="s">
        <v>50</v>
      </c>
      <c r="G600" s="57">
        <f>G601</f>
        <v>20.3</v>
      </c>
      <c r="H600" s="116"/>
      <c r="I600" s="117"/>
      <c r="J600" s="116"/>
      <c r="K600" s="80"/>
      <c r="L600" s="79"/>
      <c r="M600" s="79"/>
      <c r="AG600" s="79"/>
      <c r="AH600" s="79"/>
      <c r="DT600" s="99">
        <f t="shared" si="11"/>
        <v>0</v>
      </c>
    </row>
    <row r="601" spans="1:124" ht="37.5" x14ac:dyDescent="0.3">
      <c r="A601" s="143" t="s">
        <v>232</v>
      </c>
      <c r="B601" s="13">
        <v>936</v>
      </c>
      <c r="C601" s="14" t="s">
        <v>115</v>
      </c>
      <c r="D601" s="14" t="s">
        <v>189</v>
      </c>
      <c r="E601" s="113" t="s">
        <v>1160</v>
      </c>
      <c r="F601" s="14" t="s">
        <v>50</v>
      </c>
      <c r="G601" s="57">
        <f>G602</f>
        <v>20.3</v>
      </c>
      <c r="H601" s="116"/>
      <c r="I601" s="117"/>
      <c r="J601" s="116"/>
      <c r="K601" s="80"/>
      <c r="L601" s="79"/>
      <c r="M601" s="79"/>
      <c r="AG601" s="79"/>
      <c r="AH601" s="79"/>
      <c r="DT601" s="99">
        <f t="shared" si="11"/>
        <v>0</v>
      </c>
    </row>
    <row r="602" spans="1:124" ht="37.5" x14ac:dyDescent="0.3">
      <c r="A602" s="143" t="s">
        <v>425</v>
      </c>
      <c r="B602" s="13">
        <v>936</v>
      </c>
      <c r="C602" s="14" t="s">
        <v>115</v>
      </c>
      <c r="D602" s="14" t="s">
        <v>189</v>
      </c>
      <c r="E602" s="113" t="s">
        <v>1160</v>
      </c>
      <c r="F602" s="14" t="s">
        <v>59</v>
      </c>
      <c r="G602" s="57">
        <f>DT602</f>
        <v>20.3</v>
      </c>
      <c r="H602" s="116"/>
      <c r="I602" s="117">
        <v>12.8</v>
      </c>
      <c r="J602" s="116"/>
      <c r="K602" s="80"/>
      <c r="L602" s="79"/>
      <c r="M602" s="79"/>
      <c r="AG602" s="79"/>
      <c r="AH602" s="79"/>
      <c r="AK602" s="79">
        <v>12</v>
      </c>
      <c r="BO602" s="238">
        <v>11.5</v>
      </c>
      <c r="CQ602" s="99">
        <v>41.1</v>
      </c>
      <c r="DI602" s="270">
        <v>-20.3</v>
      </c>
      <c r="DN602" s="274">
        <v>20.3</v>
      </c>
      <c r="DT602" s="99">
        <f t="shared" si="11"/>
        <v>20.3</v>
      </c>
    </row>
    <row r="603" spans="1:124" ht="37.5" hidden="1" x14ac:dyDescent="0.3">
      <c r="A603" s="143" t="s">
        <v>452</v>
      </c>
      <c r="B603" s="13">
        <v>936</v>
      </c>
      <c r="C603" s="14" t="s">
        <v>115</v>
      </c>
      <c r="D603" s="14" t="s">
        <v>189</v>
      </c>
      <c r="E603" s="14" t="s">
        <v>453</v>
      </c>
      <c r="F603" s="14" t="s">
        <v>50</v>
      </c>
      <c r="G603" s="57">
        <f>G604</f>
        <v>0</v>
      </c>
      <c r="H603" s="116"/>
      <c r="I603" s="117"/>
      <c r="J603" s="116"/>
      <c r="K603" s="80"/>
      <c r="L603" s="79"/>
      <c r="M603" s="79"/>
      <c r="AG603" s="79"/>
      <c r="AH603" s="79"/>
      <c r="DT603" s="99">
        <f t="shared" si="11"/>
        <v>0</v>
      </c>
    </row>
    <row r="604" spans="1:124" ht="37.5" hidden="1" x14ac:dyDescent="0.3">
      <c r="A604" s="143" t="s">
        <v>425</v>
      </c>
      <c r="B604" s="13">
        <v>936</v>
      </c>
      <c r="C604" s="14" t="s">
        <v>115</v>
      </c>
      <c r="D604" s="14" t="s">
        <v>189</v>
      </c>
      <c r="E604" s="14" t="s">
        <v>453</v>
      </c>
      <c r="F604" s="14" t="s">
        <v>59</v>
      </c>
      <c r="G604" s="57">
        <v>0</v>
      </c>
      <c r="H604" s="116"/>
      <c r="I604" s="117"/>
      <c r="J604" s="116"/>
      <c r="K604" s="80"/>
      <c r="L604" s="79"/>
      <c r="M604" s="79"/>
      <c r="AG604" s="79"/>
      <c r="AH604" s="79"/>
      <c r="AK604" s="79">
        <v>0</v>
      </c>
      <c r="DT604" s="99">
        <f t="shared" si="11"/>
        <v>0</v>
      </c>
    </row>
    <row r="605" spans="1:124" ht="56.25" hidden="1" x14ac:dyDescent="0.3">
      <c r="A605" s="232" t="s">
        <v>900</v>
      </c>
      <c r="B605" s="13">
        <v>936</v>
      </c>
      <c r="C605" s="14" t="s">
        <v>115</v>
      </c>
      <c r="D605" s="14" t="s">
        <v>189</v>
      </c>
      <c r="E605" s="14" t="s">
        <v>910</v>
      </c>
      <c r="F605" s="14" t="s">
        <v>50</v>
      </c>
      <c r="G605" s="57">
        <f>G606</f>
        <v>0</v>
      </c>
      <c r="H605" s="116"/>
      <c r="I605" s="117"/>
      <c r="J605" s="116"/>
      <c r="K605" s="80"/>
      <c r="L605" s="79"/>
      <c r="M605" s="79"/>
      <c r="AG605" s="79"/>
      <c r="AH605" s="79"/>
      <c r="DT605" s="99">
        <f t="shared" si="11"/>
        <v>0</v>
      </c>
    </row>
    <row r="606" spans="1:124" ht="37.5" hidden="1" x14ac:dyDescent="0.3">
      <c r="A606" s="143" t="s">
        <v>425</v>
      </c>
      <c r="B606" s="13">
        <v>936</v>
      </c>
      <c r="C606" s="14" t="s">
        <v>115</v>
      </c>
      <c r="D606" s="14" t="s">
        <v>189</v>
      </c>
      <c r="E606" s="14" t="s">
        <v>910</v>
      </c>
      <c r="F606" s="14" t="s">
        <v>59</v>
      </c>
      <c r="G606" s="57">
        <v>0</v>
      </c>
      <c r="H606" s="116"/>
      <c r="I606" s="117"/>
      <c r="J606" s="116"/>
      <c r="K606" s="80"/>
      <c r="L606" s="79"/>
      <c r="M606" s="79"/>
      <c r="AG606" s="79"/>
      <c r="AH606" s="79"/>
      <c r="CC606" s="245">
        <v>200000</v>
      </c>
      <c r="DT606" s="99">
        <f t="shared" si="11"/>
        <v>0</v>
      </c>
    </row>
    <row r="607" spans="1:124" ht="56.25" x14ac:dyDescent="0.3">
      <c r="A607" s="156" t="s">
        <v>20</v>
      </c>
      <c r="B607" s="13">
        <v>936</v>
      </c>
      <c r="C607" s="14" t="s">
        <v>115</v>
      </c>
      <c r="D607" s="6" t="s">
        <v>189</v>
      </c>
      <c r="E607" s="15" t="s">
        <v>21</v>
      </c>
      <c r="F607" s="14" t="s">
        <v>50</v>
      </c>
      <c r="G607" s="87">
        <f>G608+G616+G620</f>
        <v>349.7</v>
      </c>
      <c r="H607" s="116"/>
      <c r="I607" s="117"/>
      <c r="J607" s="116"/>
      <c r="K607" s="80"/>
      <c r="L607" s="79"/>
      <c r="M607" s="79"/>
      <c r="AG607" s="79"/>
      <c r="AH607" s="79"/>
      <c r="DT607" s="99">
        <f t="shared" si="11"/>
        <v>0</v>
      </c>
    </row>
    <row r="608" spans="1:124" ht="73.5" customHeight="1" x14ac:dyDescent="0.3">
      <c r="A608" s="175" t="s">
        <v>22</v>
      </c>
      <c r="B608" s="13">
        <v>936</v>
      </c>
      <c r="C608" s="14" t="s">
        <v>115</v>
      </c>
      <c r="D608" s="6" t="s">
        <v>189</v>
      </c>
      <c r="E608" s="15" t="s">
        <v>23</v>
      </c>
      <c r="F608" s="14" t="s">
        <v>50</v>
      </c>
      <c r="G608" s="87">
        <f>G609+G613</f>
        <v>349.7</v>
      </c>
      <c r="H608" s="116"/>
      <c r="I608" s="117"/>
      <c r="J608" s="116"/>
      <c r="K608" s="80"/>
      <c r="L608" s="79"/>
      <c r="M608" s="79"/>
      <c r="AG608" s="79"/>
      <c r="AH608" s="79"/>
      <c r="DT608" s="99">
        <f t="shared" si="11"/>
        <v>0</v>
      </c>
    </row>
    <row r="609" spans="1:124" x14ac:dyDescent="0.3">
      <c r="A609" s="143" t="s">
        <v>62</v>
      </c>
      <c r="B609" s="13">
        <v>936</v>
      </c>
      <c r="C609" s="14" t="s">
        <v>115</v>
      </c>
      <c r="D609" s="6" t="s">
        <v>189</v>
      </c>
      <c r="E609" s="14" t="s">
        <v>222</v>
      </c>
      <c r="F609" s="14" t="s">
        <v>50</v>
      </c>
      <c r="G609" s="87">
        <f>G610</f>
        <v>349.7</v>
      </c>
      <c r="H609" s="116"/>
      <c r="I609" s="117"/>
      <c r="J609" s="116"/>
      <c r="K609" s="80"/>
      <c r="L609" s="79"/>
      <c r="M609" s="79"/>
      <c r="AG609" s="79"/>
      <c r="AH609" s="79"/>
      <c r="DT609" s="99">
        <f t="shared" si="11"/>
        <v>0</v>
      </c>
    </row>
    <row r="610" spans="1:124" x14ac:dyDescent="0.3">
      <c r="A610" s="143" t="s">
        <v>221</v>
      </c>
      <c r="B610" s="13">
        <v>936</v>
      </c>
      <c r="C610" s="14" t="s">
        <v>115</v>
      </c>
      <c r="D610" s="6" t="s">
        <v>189</v>
      </c>
      <c r="E610" s="14" t="s">
        <v>223</v>
      </c>
      <c r="F610" s="14" t="s">
        <v>50</v>
      </c>
      <c r="G610" s="87">
        <f>G611+G612</f>
        <v>349.7</v>
      </c>
      <c r="H610" s="116"/>
      <c r="I610" s="117"/>
      <c r="J610" s="116"/>
      <c r="K610" s="80"/>
      <c r="L610" s="79"/>
      <c r="M610" s="79"/>
      <c r="AG610" s="79"/>
      <c r="AH610" s="79"/>
      <c r="DT610" s="99">
        <f t="shared" si="11"/>
        <v>0</v>
      </c>
    </row>
    <row r="611" spans="1:124" ht="37.5" x14ac:dyDescent="0.3">
      <c r="A611" s="143" t="s">
        <v>425</v>
      </c>
      <c r="B611" s="13">
        <v>936</v>
      </c>
      <c r="C611" s="14" t="s">
        <v>115</v>
      </c>
      <c r="D611" s="6" t="s">
        <v>189</v>
      </c>
      <c r="E611" s="14" t="s">
        <v>223</v>
      </c>
      <c r="F611" s="14" t="s">
        <v>59</v>
      </c>
      <c r="G611" s="87">
        <f>DT611</f>
        <v>249.7</v>
      </c>
      <c r="H611" s="116">
        <v>250</v>
      </c>
      <c r="I611" s="117"/>
      <c r="J611" s="116"/>
      <c r="K611" s="80"/>
      <c r="L611" s="79"/>
      <c r="M611" s="79"/>
      <c r="N611">
        <v>150</v>
      </c>
      <c r="Z611">
        <v>10</v>
      </c>
      <c r="AC611">
        <v>100</v>
      </c>
      <c r="AE611">
        <v>200</v>
      </c>
      <c r="AG611" s="79"/>
      <c r="AH611" s="79"/>
      <c r="AV611" s="194">
        <f>100+65</f>
        <v>165</v>
      </c>
      <c r="AX611" s="101">
        <v>100</v>
      </c>
      <c r="BD611" s="226">
        <v>100</v>
      </c>
      <c r="BN611" s="237">
        <v>250</v>
      </c>
      <c r="BU611" s="151">
        <v>120</v>
      </c>
      <c r="BX611" s="151">
        <v>290</v>
      </c>
      <c r="CG611" s="194">
        <v>100</v>
      </c>
      <c r="CH611" s="258">
        <f>500+511.2</f>
        <v>1011.2</v>
      </c>
      <c r="CJ611" s="194">
        <f>100+100+1706.2</f>
        <v>1906.2</v>
      </c>
      <c r="CP611" s="259">
        <v>20</v>
      </c>
      <c r="CR611" s="99">
        <f>100+100+50</f>
        <v>250</v>
      </c>
      <c r="CU611" s="258">
        <f>100+240+538.3</f>
        <v>878.3</v>
      </c>
      <c r="CV611" s="268">
        <v>-121</v>
      </c>
      <c r="CY611" s="194">
        <f>50+269</f>
        <v>319</v>
      </c>
      <c r="CZ611" s="194">
        <v>70</v>
      </c>
      <c r="DC611" s="194">
        <v>100</v>
      </c>
      <c r="DD611" s="194">
        <v>200</v>
      </c>
      <c r="DF611" s="194">
        <f>107.6+100</f>
        <v>207.6</v>
      </c>
      <c r="DL611" s="270">
        <v>100</v>
      </c>
      <c r="DS611" s="99">
        <f>82+167.7</f>
        <v>249.7</v>
      </c>
      <c r="DT611" s="99">
        <f t="shared" si="11"/>
        <v>249.7</v>
      </c>
    </row>
    <row r="612" spans="1:124" x14ac:dyDescent="0.3">
      <c r="A612" s="143" t="s">
        <v>60</v>
      </c>
      <c r="B612" s="13">
        <v>936</v>
      </c>
      <c r="C612" s="14" t="s">
        <v>115</v>
      </c>
      <c r="D612" s="6" t="s">
        <v>189</v>
      </c>
      <c r="E612" s="14" t="s">
        <v>223</v>
      </c>
      <c r="F612" s="14" t="s">
        <v>61</v>
      </c>
      <c r="G612" s="87">
        <f>DT612</f>
        <v>100</v>
      </c>
      <c r="H612" s="116"/>
      <c r="I612" s="117"/>
      <c r="J612" s="116"/>
      <c r="K612" s="80"/>
      <c r="L612" s="79"/>
      <c r="M612" s="79">
        <v>200</v>
      </c>
      <c r="AG612" s="79"/>
      <c r="AH612" s="79"/>
      <c r="AN612" s="150">
        <v>50</v>
      </c>
      <c r="BE612" s="226">
        <v>100</v>
      </c>
      <c r="BH612" s="233">
        <v>228.8</v>
      </c>
      <c r="BJ612" s="194">
        <v>120</v>
      </c>
      <c r="BN612" s="237">
        <v>10</v>
      </c>
      <c r="BU612" s="151">
        <v>0.72270000000000001</v>
      </c>
      <c r="CF612" s="194">
        <v>2000</v>
      </c>
      <c r="CG612" s="194">
        <v>-2000</v>
      </c>
      <c r="CH612" s="258">
        <v>14</v>
      </c>
      <c r="CR612" s="99">
        <v>100</v>
      </c>
      <c r="DS612" s="99">
        <v>100</v>
      </c>
      <c r="DT612" s="99">
        <f t="shared" si="11"/>
        <v>100</v>
      </c>
    </row>
    <row r="613" spans="1:124" ht="56.25" hidden="1" x14ac:dyDescent="0.3">
      <c r="A613" s="164" t="s">
        <v>493</v>
      </c>
      <c r="B613" s="13">
        <v>936</v>
      </c>
      <c r="C613" s="14" t="s">
        <v>115</v>
      </c>
      <c r="D613" s="6" t="s">
        <v>189</v>
      </c>
      <c r="E613" s="15" t="s">
        <v>449</v>
      </c>
      <c r="F613" s="14" t="s">
        <v>50</v>
      </c>
      <c r="G613" s="87">
        <f>G615+G614</f>
        <v>0</v>
      </c>
      <c r="H613" s="116"/>
      <c r="I613" s="117"/>
      <c r="J613" s="116"/>
      <c r="K613" s="80"/>
      <c r="L613" s="79"/>
      <c r="M613" s="79"/>
      <c r="AG613" s="79"/>
      <c r="AH613" s="79"/>
      <c r="DT613" s="99">
        <f t="shared" si="11"/>
        <v>0</v>
      </c>
    </row>
    <row r="614" spans="1:124" ht="37.5" hidden="1" x14ac:dyDescent="0.3">
      <c r="A614" s="143" t="s">
        <v>425</v>
      </c>
      <c r="B614" s="13">
        <v>936</v>
      </c>
      <c r="C614" s="14" t="s">
        <v>115</v>
      </c>
      <c r="D614" s="6" t="s">
        <v>189</v>
      </c>
      <c r="E614" s="15" t="s">
        <v>449</v>
      </c>
      <c r="F614" s="14" t="s">
        <v>59</v>
      </c>
      <c r="G614" s="87">
        <v>0</v>
      </c>
      <c r="H614" s="116"/>
      <c r="I614" s="117"/>
      <c r="J614" s="116"/>
      <c r="K614" s="80"/>
      <c r="L614" s="79"/>
      <c r="M614" s="79">
        <f>126.3+126.2</f>
        <v>252.5</v>
      </c>
      <c r="AE614">
        <v>19.429559999999999</v>
      </c>
      <c r="AF614">
        <v>217.01588000000001</v>
      </c>
      <c r="AG614" s="79"/>
      <c r="AH614" s="79"/>
      <c r="AS614" s="194">
        <v>116.54316</v>
      </c>
      <c r="AV614" s="194">
        <v>69.607830000000007</v>
      </c>
      <c r="AX614" s="101">
        <v>30.482320000000001</v>
      </c>
      <c r="BH614" s="233">
        <v>10.6463</v>
      </c>
      <c r="BJ614" s="194">
        <f>18.254+45</f>
        <v>63.254000000000005</v>
      </c>
      <c r="BL614" s="194">
        <v>590</v>
      </c>
      <c r="BM614" s="242">
        <v>1916.4</v>
      </c>
      <c r="BU614" s="151">
        <v>59.495069999999998</v>
      </c>
      <c r="CD614" s="226">
        <v>135.32</v>
      </c>
      <c r="CF614" s="194">
        <f>257.85067-2.2092</f>
        <v>255.64146999999997</v>
      </c>
      <c r="CJ614" s="194">
        <v>381.9</v>
      </c>
      <c r="CL614" s="194">
        <v>506.76299999999998</v>
      </c>
      <c r="CP614" s="259">
        <v>405.5</v>
      </c>
      <c r="CV614" s="268">
        <v>121</v>
      </c>
      <c r="CY614" s="194">
        <v>-50</v>
      </c>
      <c r="CZ614" s="194">
        <v>752.7</v>
      </c>
      <c r="DD614" s="194">
        <v>-200</v>
      </c>
      <c r="DT614" s="99">
        <f t="shared" si="11"/>
        <v>0</v>
      </c>
    </row>
    <row r="615" spans="1:124" ht="29.25" hidden="1" customHeight="1" x14ac:dyDescent="0.3">
      <c r="A615" s="143" t="s">
        <v>60</v>
      </c>
      <c r="B615" s="13">
        <v>936</v>
      </c>
      <c r="C615" s="14" t="s">
        <v>115</v>
      </c>
      <c r="D615" s="6" t="s">
        <v>189</v>
      </c>
      <c r="E615" s="15" t="s">
        <v>449</v>
      </c>
      <c r="F615" s="14" t="s">
        <v>61</v>
      </c>
      <c r="G615" s="87">
        <v>0</v>
      </c>
      <c r="H615" s="127"/>
      <c r="I615" s="128"/>
      <c r="J615" s="127"/>
      <c r="K615" s="80"/>
      <c r="L615" s="79"/>
      <c r="M615" s="79">
        <v>1.78</v>
      </c>
      <c r="AC615">
        <f>200.64245</f>
        <v>200.64245</v>
      </c>
      <c r="AE615">
        <v>0.6</v>
      </c>
      <c r="AF615">
        <v>2.202</v>
      </c>
      <c r="AG615" s="79"/>
      <c r="AH615" s="79"/>
      <c r="AK615" s="79">
        <v>0</v>
      </c>
      <c r="AS615" s="194">
        <v>104.48984</v>
      </c>
      <c r="AV615" s="194">
        <v>1.8</v>
      </c>
      <c r="AX615" s="101">
        <v>1.8</v>
      </c>
      <c r="BH615" s="233">
        <f>4.0611+8.68</f>
        <v>12.741099999999999</v>
      </c>
      <c r="BJ615" s="194">
        <f>1+11.1945</f>
        <v>12.1945</v>
      </c>
      <c r="CD615" s="226">
        <f>12.28+5.78601</f>
        <v>18.066009999999999</v>
      </c>
      <c r="CF615" s="194">
        <f>1.324+1.85+2.2092</f>
        <v>5.3832000000000004</v>
      </c>
      <c r="CJ615" s="194">
        <v>3.2</v>
      </c>
      <c r="CL615" s="194">
        <v>3</v>
      </c>
      <c r="CP615" s="259">
        <v>3.5</v>
      </c>
      <c r="CY615" s="194">
        <v>75.2</v>
      </c>
      <c r="CZ615" s="194">
        <v>10</v>
      </c>
      <c r="DC615" s="194">
        <f>122.6+87.5+18.1</f>
        <v>228.2</v>
      </c>
      <c r="DE615" s="194">
        <v>29.233059999999998</v>
      </c>
      <c r="DH615" s="194">
        <v>35</v>
      </c>
      <c r="DJ615" s="194">
        <v>47</v>
      </c>
      <c r="DL615" s="270">
        <v>15.3</v>
      </c>
      <c r="DT615" s="99">
        <f t="shared" si="11"/>
        <v>0</v>
      </c>
    </row>
    <row r="616" spans="1:124" hidden="1" outlineLevel="1" x14ac:dyDescent="0.3">
      <c r="A616" s="143" t="s">
        <v>83</v>
      </c>
      <c r="B616" s="13">
        <v>936</v>
      </c>
      <c r="C616" s="14" t="s">
        <v>115</v>
      </c>
      <c r="D616" s="6" t="s">
        <v>189</v>
      </c>
      <c r="E616" s="14" t="s">
        <v>35</v>
      </c>
      <c r="F616" s="14" t="s">
        <v>50</v>
      </c>
      <c r="G616" s="87">
        <f>G617</f>
        <v>0</v>
      </c>
      <c r="H616" s="116"/>
      <c r="I616" s="117"/>
      <c r="J616" s="116"/>
      <c r="K616" s="80"/>
      <c r="L616" s="79"/>
      <c r="M616" s="79"/>
      <c r="AG616" s="79"/>
      <c r="AH616" s="79"/>
      <c r="DT616" s="99">
        <f t="shared" si="11"/>
        <v>0</v>
      </c>
    </row>
    <row r="617" spans="1:124" hidden="1" outlineLevel="1" x14ac:dyDescent="0.3">
      <c r="A617" s="143" t="s">
        <v>62</v>
      </c>
      <c r="B617" s="13">
        <v>936</v>
      </c>
      <c r="C617" s="14" t="s">
        <v>115</v>
      </c>
      <c r="D617" s="6" t="s">
        <v>189</v>
      </c>
      <c r="E617" s="14" t="s">
        <v>225</v>
      </c>
      <c r="F617" s="14" t="s">
        <v>50</v>
      </c>
      <c r="G617" s="87">
        <f>G618</f>
        <v>0</v>
      </c>
      <c r="H617" s="116"/>
      <c r="I617" s="117"/>
      <c r="J617" s="116"/>
      <c r="K617" s="80"/>
      <c r="L617" s="79"/>
      <c r="M617" s="79"/>
      <c r="AG617" s="79"/>
      <c r="AH617" s="79"/>
      <c r="DT617" s="99">
        <f t="shared" si="11"/>
        <v>0</v>
      </c>
    </row>
    <row r="618" spans="1:124" hidden="1" outlineLevel="1" x14ac:dyDescent="0.3">
      <c r="A618" s="143" t="s">
        <v>224</v>
      </c>
      <c r="B618" s="13">
        <v>936</v>
      </c>
      <c r="C618" s="14" t="s">
        <v>115</v>
      </c>
      <c r="D618" s="6" t="s">
        <v>189</v>
      </c>
      <c r="E618" s="14" t="s">
        <v>226</v>
      </c>
      <c r="F618" s="14" t="s">
        <v>50</v>
      </c>
      <c r="G618" s="87">
        <f>G619</f>
        <v>0</v>
      </c>
      <c r="H618" s="116"/>
      <c r="I618" s="117"/>
      <c r="J618" s="116"/>
      <c r="K618" s="80"/>
      <c r="L618" s="79"/>
      <c r="M618" s="79"/>
      <c r="AG618" s="79"/>
      <c r="AH618" s="79"/>
      <c r="DT618" s="99">
        <f t="shared" si="11"/>
        <v>0</v>
      </c>
    </row>
    <row r="619" spans="1:124" ht="37.5" hidden="1" outlineLevel="1" x14ac:dyDescent="0.3">
      <c r="A619" s="143" t="s">
        <v>58</v>
      </c>
      <c r="B619" s="13">
        <v>936</v>
      </c>
      <c r="C619" s="14" t="s">
        <v>115</v>
      </c>
      <c r="D619" s="6" t="s">
        <v>189</v>
      </c>
      <c r="E619" s="14" t="s">
        <v>226</v>
      </c>
      <c r="F619" s="14" t="s">
        <v>59</v>
      </c>
      <c r="G619" s="87"/>
      <c r="H619" s="116"/>
      <c r="I619" s="117"/>
      <c r="J619" s="116"/>
      <c r="K619" s="80"/>
      <c r="L619" s="79"/>
      <c r="M619" s="79"/>
      <c r="AG619" s="79"/>
      <c r="AH619" s="79"/>
      <c r="DT619" s="99">
        <f t="shared" si="11"/>
        <v>0</v>
      </c>
    </row>
    <row r="620" spans="1:124" hidden="1" outlineLevel="1" x14ac:dyDescent="0.3">
      <c r="A620" s="189" t="s">
        <v>24</v>
      </c>
      <c r="B620" s="13">
        <v>936</v>
      </c>
      <c r="C620" s="14" t="s">
        <v>115</v>
      </c>
      <c r="D620" s="6" t="s">
        <v>189</v>
      </c>
      <c r="E620" s="14" t="s">
        <v>446</v>
      </c>
      <c r="F620" s="14" t="s">
        <v>50</v>
      </c>
      <c r="G620" s="87">
        <f>G621</f>
        <v>0</v>
      </c>
      <c r="H620" s="116"/>
      <c r="I620" s="117"/>
      <c r="J620" s="116"/>
      <c r="K620" s="80"/>
      <c r="L620" s="79"/>
      <c r="M620" s="79"/>
      <c r="AG620" s="79"/>
      <c r="AH620" s="79"/>
      <c r="DT620" s="99">
        <f t="shared" si="11"/>
        <v>0</v>
      </c>
    </row>
    <row r="621" spans="1:124" ht="56.25" hidden="1" outlineLevel="1" x14ac:dyDescent="0.3">
      <c r="A621" s="164" t="s">
        <v>493</v>
      </c>
      <c r="B621" s="13">
        <v>936</v>
      </c>
      <c r="C621" s="14" t="s">
        <v>115</v>
      </c>
      <c r="D621" s="6" t="s">
        <v>189</v>
      </c>
      <c r="E621" s="15" t="s">
        <v>649</v>
      </c>
      <c r="F621" s="14" t="s">
        <v>50</v>
      </c>
      <c r="G621" s="87">
        <f>G622</f>
        <v>0</v>
      </c>
      <c r="H621" s="116"/>
      <c r="I621" s="117"/>
      <c r="J621" s="116"/>
      <c r="K621" s="80"/>
      <c r="L621" s="79"/>
      <c r="M621" s="79"/>
      <c r="AG621" s="79"/>
      <c r="AH621" s="79"/>
      <c r="DT621" s="99">
        <f t="shared" si="11"/>
        <v>0</v>
      </c>
    </row>
    <row r="622" spans="1:124" hidden="1" outlineLevel="1" x14ac:dyDescent="0.3">
      <c r="A622" s="143" t="s">
        <v>60</v>
      </c>
      <c r="B622" s="13">
        <v>936</v>
      </c>
      <c r="C622" s="14" t="s">
        <v>115</v>
      </c>
      <c r="D622" s="6" t="s">
        <v>189</v>
      </c>
      <c r="E622" s="15" t="s">
        <v>649</v>
      </c>
      <c r="F622" s="14" t="s">
        <v>61</v>
      </c>
      <c r="G622" s="87">
        <v>0</v>
      </c>
      <c r="H622" s="116"/>
      <c r="I622" s="117"/>
      <c r="J622" s="116"/>
      <c r="K622" s="80"/>
      <c r="L622" s="79"/>
      <c r="M622" s="79"/>
      <c r="AC622">
        <v>3</v>
      </c>
      <c r="AG622" s="79"/>
      <c r="AH622" s="79"/>
      <c r="AK622" s="79">
        <v>0</v>
      </c>
      <c r="CB622" s="226">
        <v>49.786009999999997</v>
      </c>
      <c r="CD622" s="226">
        <v>-5.7860100000000001</v>
      </c>
      <c r="DT622" s="99">
        <f t="shared" si="11"/>
        <v>0</v>
      </c>
    </row>
    <row r="623" spans="1:124" ht="37.5" collapsed="1" x14ac:dyDescent="0.3">
      <c r="A623" s="155" t="s">
        <v>233</v>
      </c>
      <c r="B623" s="12">
        <v>936</v>
      </c>
      <c r="C623" s="9" t="s">
        <v>117</v>
      </c>
      <c r="D623" s="19" t="s">
        <v>112</v>
      </c>
      <c r="E623" s="9" t="s">
        <v>49</v>
      </c>
      <c r="F623" s="9" t="s">
        <v>50</v>
      </c>
      <c r="G623" s="68">
        <f>G624+G672</f>
        <v>7564.9</v>
      </c>
      <c r="H623" s="116"/>
      <c r="I623" s="117"/>
      <c r="J623" s="116"/>
      <c r="K623" s="80"/>
      <c r="L623" s="79"/>
      <c r="M623" s="79"/>
      <c r="AG623" s="79"/>
      <c r="AH623" s="79"/>
      <c r="DT623" s="99">
        <f t="shared" si="11"/>
        <v>0</v>
      </c>
    </row>
    <row r="624" spans="1:124" ht="60" customHeight="1" x14ac:dyDescent="0.3">
      <c r="A624" s="213" t="s">
        <v>563</v>
      </c>
      <c r="B624" s="12">
        <v>936</v>
      </c>
      <c r="C624" s="9" t="s">
        <v>117</v>
      </c>
      <c r="D624" s="9" t="s">
        <v>169</v>
      </c>
      <c r="E624" s="12" t="s">
        <v>49</v>
      </c>
      <c r="F624" s="9" t="s">
        <v>50</v>
      </c>
      <c r="G624" s="68">
        <f>G644+G653+G661+G668+G670</f>
        <v>7346.7999999999993</v>
      </c>
      <c r="H624" s="116"/>
      <c r="I624" s="117"/>
      <c r="J624" s="116"/>
      <c r="K624" s="80"/>
      <c r="L624" s="79"/>
      <c r="M624" s="79"/>
      <c r="AG624" s="79"/>
      <c r="AH624" s="79"/>
      <c r="DT624" s="99">
        <f t="shared" si="11"/>
        <v>0</v>
      </c>
    </row>
    <row r="625" spans="1:124" ht="60.75" hidden="1" customHeight="1" x14ac:dyDescent="0.3">
      <c r="A625" s="156" t="s">
        <v>160</v>
      </c>
      <c r="B625" s="13">
        <v>936</v>
      </c>
      <c r="C625" s="14" t="s">
        <v>117</v>
      </c>
      <c r="D625" s="14" t="s">
        <v>128</v>
      </c>
      <c r="E625" s="15" t="s">
        <v>95</v>
      </c>
      <c r="F625" s="14" t="s">
        <v>50</v>
      </c>
      <c r="G625" s="57">
        <f>G626+G636</f>
        <v>0</v>
      </c>
      <c r="H625" s="116"/>
      <c r="I625" s="117"/>
      <c r="J625" s="116"/>
      <c r="K625" s="80"/>
      <c r="L625" s="79"/>
      <c r="M625" s="79"/>
      <c r="AG625" s="79"/>
      <c r="AH625" s="79"/>
      <c r="DT625" s="99">
        <f t="shared" si="11"/>
        <v>0</v>
      </c>
    </row>
    <row r="626" spans="1:124" ht="64.5" hidden="1" customHeight="1" x14ac:dyDescent="0.3">
      <c r="A626" s="156" t="s">
        <v>4</v>
      </c>
      <c r="B626" s="13">
        <v>936</v>
      </c>
      <c r="C626" s="14" t="s">
        <v>117</v>
      </c>
      <c r="D626" s="14" t="s">
        <v>128</v>
      </c>
      <c r="E626" s="15" t="s">
        <v>96</v>
      </c>
      <c r="F626" s="14" t="s">
        <v>50</v>
      </c>
      <c r="G626" s="57">
        <f>G627+G633</f>
        <v>0</v>
      </c>
      <c r="H626" s="116"/>
      <c r="I626" s="117"/>
      <c r="J626" s="116"/>
      <c r="K626" s="80"/>
      <c r="L626" s="79"/>
      <c r="M626" s="79"/>
      <c r="AG626" s="79"/>
      <c r="AH626" s="79"/>
      <c r="DT626" s="99">
        <f t="shared" si="11"/>
        <v>0</v>
      </c>
    </row>
    <row r="627" spans="1:124" ht="37.5" hidden="1" x14ac:dyDescent="0.3">
      <c r="A627" s="143" t="s">
        <v>52</v>
      </c>
      <c r="B627" s="13">
        <v>936</v>
      </c>
      <c r="C627" s="14" t="s">
        <v>117</v>
      </c>
      <c r="D627" s="14" t="s">
        <v>128</v>
      </c>
      <c r="E627" s="14" t="s">
        <v>234</v>
      </c>
      <c r="F627" s="14" t="s">
        <v>50</v>
      </c>
      <c r="G627" s="57">
        <f>G628+G631</f>
        <v>0</v>
      </c>
      <c r="H627" s="116"/>
      <c r="I627" s="117"/>
      <c r="J627" s="116"/>
      <c r="K627" s="80"/>
      <c r="L627" s="79"/>
      <c r="M627" s="79"/>
      <c r="AG627" s="79"/>
      <c r="AH627" s="79"/>
      <c r="DT627" s="99">
        <f t="shared" si="11"/>
        <v>0</v>
      </c>
    </row>
    <row r="628" spans="1:124" hidden="1" x14ac:dyDescent="0.3">
      <c r="A628" s="143" t="s">
        <v>82</v>
      </c>
      <c r="B628" s="13">
        <v>936</v>
      </c>
      <c r="C628" s="14" t="s">
        <v>117</v>
      </c>
      <c r="D628" s="14" t="s">
        <v>128</v>
      </c>
      <c r="E628" s="14" t="s">
        <v>235</v>
      </c>
      <c r="F628" s="14" t="s">
        <v>50</v>
      </c>
      <c r="G628" s="57">
        <f>G629+G630</f>
        <v>0</v>
      </c>
      <c r="H628" s="116"/>
      <c r="I628" s="117"/>
      <c r="J628" s="116"/>
      <c r="K628" s="80"/>
      <c r="L628" s="79"/>
      <c r="M628" s="79"/>
      <c r="AG628" s="79"/>
      <c r="AH628" s="79"/>
      <c r="DT628" s="99">
        <f t="shared" si="11"/>
        <v>0</v>
      </c>
    </row>
    <row r="629" spans="1:124" ht="93.75" hidden="1" x14ac:dyDescent="0.3">
      <c r="A629" s="143" t="s">
        <v>56</v>
      </c>
      <c r="B629" s="13">
        <v>936</v>
      </c>
      <c r="C629" s="14" t="s">
        <v>117</v>
      </c>
      <c r="D629" s="14" t="s">
        <v>128</v>
      </c>
      <c r="E629" s="14" t="s">
        <v>235</v>
      </c>
      <c r="F629" s="14" t="s">
        <v>57</v>
      </c>
      <c r="G629" s="57">
        <v>0</v>
      </c>
      <c r="H629" s="116"/>
      <c r="I629" s="117"/>
      <c r="J629" s="116"/>
      <c r="K629" s="80"/>
      <c r="L629" s="79"/>
      <c r="M629" s="79">
        <v>-1350</v>
      </c>
      <c r="AG629" s="79"/>
      <c r="AH629" s="79"/>
      <c r="DT629" s="99">
        <f t="shared" si="11"/>
        <v>0</v>
      </c>
    </row>
    <row r="630" spans="1:124" ht="37.5" hidden="1" x14ac:dyDescent="0.3">
      <c r="A630" s="143" t="s">
        <v>425</v>
      </c>
      <c r="B630" s="13">
        <v>936</v>
      </c>
      <c r="C630" s="14" t="s">
        <v>117</v>
      </c>
      <c r="D630" s="14" t="s">
        <v>128</v>
      </c>
      <c r="E630" s="14" t="s">
        <v>235</v>
      </c>
      <c r="F630" s="14" t="s">
        <v>59</v>
      </c>
      <c r="G630" s="57">
        <v>0</v>
      </c>
      <c r="H630" s="116"/>
      <c r="I630" s="117"/>
      <c r="J630" s="116"/>
      <c r="K630" s="80"/>
      <c r="L630" s="79"/>
      <c r="M630" s="79">
        <v>-97.5</v>
      </c>
      <c r="AG630" s="79"/>
      <c r="AH630" s="79"/>
      <c r="DT630" s="99">
        <f t="shared" si="11"/>
        <v>0</v>
      </c>
    </row>
    <row r="631" spans="1:124" ht="37.5" hidden="1" x14ac:dyDescent="0.3">
      <c r="A631" s="162" t="s">
        <v>374</v>
      </c>
      <c r="B631" s="13">
        <v>936</v>
      </c>
      <c r="C631" s="14" t="s">
        <v>117</v>
      </c>
      <c r="D631" s="14" t="s">
        <v>128</v>
      </c>
      <c r="E631" s="14" t="s">
        <v>512</v>
      </c>
      <c r="F631" s="14" t="s">
        <v>50</v>
      </c>
      <c r="G631" s="57">
        <f>G632</f>
        <v>0</v>
      </c>
      <c r="H631" s="116"/>
      <c r="I631" s="117"/>
      <c r="J631" s="116"/>
      <c r="K631" s="80"/>
      <c r="L631" s="79"/>
      <c r="M631" s="79"/>
      <c r="AG631" s="79"/>
      <c r="AH631" s="79"/>
      <c r="DT631" s="99">
        <f t="shared" si="11"/>
        <v>0</v>
      </c>
    </row>
    <row r="632" spans="1:124" ht="93.75" hidden="1" x14ac:dyDescent="0.3">
      <c r="A632" s="143" t="s">
        <v>56</v>
      </c>
      <c r="B632" s="13">
        <v>936</v>
      </c>
      <c r="C632" s="14" t="s">
        <v>117</v>
      </c>
      <c r="D632" s="14" t="s">
        <v>128</v>
      </c>
      <c r="E632" s="14" t="s">
        <v>512</v>
      </c>
      <c r="F632" s="14" t="s">
        <v>57</v>
      </c>
      <c r="G632" s="57">
        <v>0</v>
      </c>
      <c r="H632" s="116"/>
      <c r="I632" s="117"/>
      <c r="J632" s="116"/>
      <c r="K632" s="80"/>
      <c r="L632" s="79"/>
      <c r="M632" s="79"/>
      <c r="AG632" s="79"/>
      <c r="AH632" s="79"/>
      <c r="DT632" s="99">
        <f t="shared" si="11"/>
        <v>0</v>
      </c>
    </row>
    <row r="633" spans="1:124" ht="56.25" hidden="1" x14ac:dyDescent="0.3">
      <c r="A633" s="143" t="s">
        <v>443</v>
      </c>
      <c r="B633" s="13">
        <v>936</v>
      </c>
      <c r="C633" s="14" t="s">
        <v>117</v>
      </c>
      <c r="D633" s="14" t="s">
        <v>128</v>
      </c>
      <c r="E633" s="14" t="s">
        <v>444</v>
      </c>
      <c r="F633" s="14" t="s">
        <v>50</v>
      </c>
      <c r="G633" s="57">
        <f>G634+G635</f>
        <v>0</v>
      </c>
      <c r="H633" s="116"/>
      <c r="I633" s="117"/>
      <c r="J633" s="116"/>
      <c r="K633" s="80"/>
      <c r="L633" s="79"/>
      <c r="M633" s="79"/>
      <c r="AG633" s="79"/>
      <c r="AH633" s="79"/>
      <c r="DT633" s="99">
        <f t="shared" si="11"/>
        <v>0</v>
      </c>
    </row>
    <row r="634" spans="1:124" ht="57.75" hidden="1" customHeight="1" x14ac:dyDescent="0.3">
      <c r="A634" s="143" t="s">
        <v>56</v>
      </c>
      <c r="B634" s="13">
        <v>936</v>
      </c>
      <c r="C634" s="14" t="s">
        <v>117</v>
      </c>
      <c r="D634" s="14" t="s">
        <v>128</v>
      </c>
      <c r="E634" s="14" t="s">
        <v>444</v>
      </c>
      <c r="F634" s="14" t="s">
        <v>57</v>
      </c>
      <c r="G634" s="57"/>
      <c r="H634" s="116"/>
      <c r="I634" s="117"/>
      <c r="J634" s="116"/>
      <c r="K634" s="80"/>
      <c r="L634" s="79"/>
      <c r="M634" s="79"/>
      <c r="AG634" s="79"/>
      <c r="AH634" s="79"/>
      <c r="DT634" s="99">
        <f t="shared" si="11"/>
        <v>0</v>
      </c>
    </row>
    <row r="635" spans="1:124" ht="37.5" hidden="1" x14ac:dyDescent="0.3">
      <c r="A635" s="143" t="s">
        <v>425</v>
      </c>
      <c r="B635" s="13">
        <v>936</v>
      </c>
      <c r="C635" s="14" t="s">
        <v>117</v>
      </c>
      <c r="D635" s="14" t="s">
        <v>128</v>
      </c>
      <c r="E635" s="14" t="s">
        <v>444</v>
      </c>
      <c r="F635" s="14" t="s">
        <v>59</v>
      </c>
      <c r="G635" s="57"/>
      <c r="H635" s="116"/>
      <c r="I635" s="117"/>
      <c r="J635" s="116"/>
      <c r="K635" s="80"/>
      <c r="L635" s="79"/>
      <c r="M635" s="79"/>
      <c r="AG635" s="79"/>
      <c r="AH635" s="79"/>
      <c r="DT635" s="99">
        <f t="shared" si="11"/>
        <v>0</v>
      </c>
    </row>
    <row r="636" spans="1:124" ht="75" hidden="1" x14ac:dyDescent="0.3">
      <c r="A636" s="156" t="s">
        <v>5</v>
      </c>
      <c r="B636" s="13">
        <v>936</v>
      </c>
      <c r="C636" s="14" t="s">
        <v>117</v>
      </c>
      <c r="D636" s="14" t="s">
        <v>128</v>
      </c>
      <c r="E636" s="15" t="s">
        <v>97</v>
      </c>
      <c r="F636" s="14" t="s">
        <v>50</v>
      </c>
      <c r="G636" s="57">
        <f>G637</f>
        <v>0</v>
      </c>
      <c r="H636" s="116"/>
      <c r="I636" s="117"/>
      <c r="J636" s="116"/>
      <c r="K636" s="80"/>
      <c r="L636" s="79"/>
      <c r="M636" s="79"/>
      <c r="AG636" s="79"/>
      <c r="AH636" s="79"/>
      <c r="DT636" s="99">
        <f t="shared" si="11"/>
        <v>0</v>
      </c>
    </row>
    <row r="637" spans="1:124" ht="37.5" hidden="1" x14ac:dyDescent="0.3">
      <c r="A637" s="143" t="s">
        <v>52</v>
      </c>
      <c r="B637" s="13">
        <v>936</v>
      </c>
      <c r="C637" s="14" t="s">
        <v>117</v>
      </c>
      <c r="D637" s="14" t="s">
        <v>128</v>
      </c>
      <c r="E637" s="14" t="s">
        <v>237</v>
      </c>
      <c r="F637" s="14" t="s">
        <v>50</v>
      </c>
      <c r="G637" s="57">
        <f>G638+G642</f>
        <v>0</v>
      </c>
      <c r="H637" s="116"/>
      <c r="I637" s="117"/>
      <c r="J637" s="116"/>
      <c r="K637" s="80"/>
      <c r="L637" s="79"/>
      <c r="M637" s="79"/>
      <c r="AG637" s="79"/>
      <c r="AH637" s="79"/>
      <c r="DT637" s="99">
        <f t="shared" si="11"/>
        <v>0</v>
      </c>
    </row>
    <row r="638" spans="1:124" hidden="1" x14ac:dyDescent="0.3">
      <c r="A638" s="143" t="s">
        <v>236</v>
      </c>
      <c r="B638" s="13">
        <v>936</v>
      </c>
      <c r="C638" s="14" t="s">
        <v>117</v>
      </c>
      <c r="D638" s="14" t="s">
        <v>128</v>
      </c>
      <c r="E638" s="14" t="s">
        <v>238</v>
      </c>
      <c r="F638" s="14" t="s">
        <v>50</v>
      </c>
      <c r="G638" s="57">
        <f>G639+G640+G641</f>
        <v>0</v>
      </c>
      <c r="H638" s="116"/>
      <c r="I638" s="117"/>
      <c r="J638" s="116"/>
      <c r="K638" s="80"/>
      <c r="L638" s="79"/>
      <c r="M638" s="79"/>
      <c r="AG638" s="79"/>
      <c r="AH638" s="79"/>
      <c r="DT638" s="99">
        <f t="shared" si="11"/>
        <v>0</v>
      </c>
    </row>
    <row r="639" spans="1:124" ht="93.75" hidden="1" x14ac:dyDescent="0.3">
      <c r="A639" s="143" t="s">
        <v>56</v>
      </c>
      <c r="B639" s="13">
        <v>936</v>
      </c>
      <c r="C639" s="14" t="s">
        <v>117</v>
      </c>
      <c r="D639" s="14" t="s">
        <v>128</v>
      </c>
      <c r="E639" s="14" t="s">
        <v>238</v>
      </c>
      <c r="F639" s="14" t="s">
        <v>57</v>
      </c>
      <c r="G639" s="57">
        <v>0</v>
      </c>
      <c r="H639" s="116"/>
      <c r="I639" s="117"/>
      <c r="J639" s="116"/>
      <c r="K639" s="80"/>
      <c r="L639" s="79"/>
      <c r="M639" s="79">
        <v>-1687.1</v>
      </c>
      <c r="AG639" s="79"/>
      <c r="AH639" s="79"/>
      <c r="DT639" s="99">
        <f t="shared" si="11"/>
        <v>0</v>
      </c>
    </row>
    <row r="640" spans="1:124" ht="37.5" hidden="1" x14ac:dyDescent="0.3">
      <c r="A640" s="143" t="s">
        <v>425</v>
      </c>
      <c r="B640" s="13">
        <v>936</v>
      </c>
      <c r="C640" s="14" t="s">
        <v>117</v>
      </c>
      <c r="D640" s="14" t="s">
        <v>128</v>
      </c>
      <c r="E640" s="14" t="s">
        <v>238</v>
      </c>
      <c r="F640" s="14" t="s">
        <v>59</v>
      </c>
      <c r="G640" s="57">
        <v>0</v>
      </c>
      <c r="H640" s="116"/>
      <c r="I640" s="117"/>
      <c r="J640" s="116"/>
      <c r="K640" s="80"/>
      <c r="L640" s="79"/>
      <c r="M640" s="79">
        <v>-261.5</v>
      </c>
      <c r="AG640" s="79"/>
      <c r="AH640" s="79"/>
      <c r="DT640" s="99">
        <f t="shared" si="11"/>
        <v>0</v>
      </c>
    </row>
    <row r="641" spans="1:124" hidden="1" x14ac:dyDescent="0.3">
      <c r="A641" s="143" t="s">
        <v>60</v>
      </c>
      <c r="B641" s="13">
        <v>936</v>
      </c>
      <c r="C641" s="14" t="s">
        <v>117</v>
      </c>
      <c r="D641" s="14" t="s">
        <v>128</v>
      </c>
      <c r="E641" s="14" t="s">
        <v>238</v>
      </c>
      <c r="F641" s="14" t="s">
        <v>61</v>
      </c>
      <c r="G641" s="57">
        <v>0</v>
      </c>
      <c r="H641" s="116"/>
      <c r="I641" s="117"/>
      <c r="J641" s="116"/>
      <c r="K641" s="80"/>
      <c r="L641" s="79"/>
      <c r="M641" s="79">
        <v>-7.2</v>
      </c>
      <c r="AG641" s="79"/>
      <c r="AH641" s="79"/>
      <c r="DT641" s="99">
        <f t="shared" si="11"/>
        <v>0</v>
      </c>
    </row>
    <row r="642" spans="1:124" ht="37.5" hidden="1" x14ac:dyDescent="0.3">
      <c r="A642" s="162" t="s">
        <v>374</v>
      </c>
      <c r="B642" s="13">
        <v>936</v>
      </c>
      <c r="C642" s="14" t="s">
        <v>117</v>
      </c>
      <c r="D642" s="14" t="s">
        <v>128</v>
      </c>
      <c r="E642" s="14" t="s">
        <v>513</v>
      </c>
      <c r="F642" s="14" t="s">
        <v>50</v>
      </c>
      <c r="G642" s="57">
        <f>G643</f>
        <v>0</v>
      </c>
      <c r="H642" s="116"/>
      <c r="I642" s="117"/>
      <c r="J642" s="116"/>
      <c r="K642" s="80"/>
      <c r="L642" s="79"/>
      <c r="M642" s="79"/>
      <c r="AG642" s="79"/>
      <c r="AH642" s="79"/>
      <c r="DT642" s="99">
        <f t="shared" si="11"/>
        <v>0</v>
      </c>
    </row>
    <row r="643" spans="1:124" ht="93.75" hidden="1" x14ac:dyDescent="0.3">
      <c r="A643" s="143" t="s">
        <v>56</v>
      </c>
      <c r="B643" s="13">
        <v>936</v>
      </c>
      <c r="C643" s="14" t="s">
        <v>117</v>
      </c>
      <c r="D643" s="14" t="s">
        <v>128</v>
      </c>
      <c r="E643" s="14" t="s">
        <v>513</v>
      </c>
      <c r="F643" s="14" t="s">
        <v>57</v>
      </c>
      <c r="G643" s="57">
        <v>0</v>
      </c>
      <c r="H643" s="116"/>
      <c r="I643" s="117"/>
      <c r="J643" s="116"/>
      <c r="K643" s="80"/>
      <c r="L643" s="79"/>
      <c r="M643" s="79"/>
      <c r="AG643" s="79"/>
      <c r="AH643" s="79"/>
      <c r="DT643" s="99">
        <f t="shared" si="11"/>
        <v>0</v>
      </c>
    </row>
    <row r="644" spans="1:124" ht="68.25" customHeight="1" x14ac:dyDescent="0.3">
      <c r="A644" s="156" t="s">
        <v>4</v>
      </c>
      <c r="B644" s="13">
        <v>936</v>
      </c>
      <c r="C644" s="14" t="s">
        <v>117</v>
      </c>
      <c r="D644" s="14" t="s">
        <v>169</v>
      </c>
      <c r="E644" s="14" t="s">
        <v>96</v>
      </c>
      <c r="F644" s="14" t="s">
        <v>50</v>
      </c>
      <c r="G644" s="57">
        <f>G645+G648</f>
        <v>3731.1</v>
      </c>
      <c r="H644" s="116"/>
      <c r="I644" s="117"/>
      <c r="J644" s="116"/>
      <c r="K644" s="80"/>
      <c r="L644" s="79"/>
      <c r="M644" s="79"/>
      <c r="AG644" s="79"/>
      <c r="AH644" s="79"/>
      <c r="DT644" s="99">
        <f t="shared" si="11"/>
        <v>0</v>
      </c>
    </row>
    <row r="645" spans="1:124" ht="56.25" hidden="1" x14ac:dyDescent="0.3">
      <c r="A645" s="143" t="s">
        <v>443</v>
      </c>
      <c r="B645" s="13">
        <v>936</v>
      </c>
      <c r="C645" s="14" t="s">
        <v>117</v>
      </c>
      <c r="D645" s="14" t="s">
        <v>169</v>
      </c>
      <c r="E645" s="14" t="s">
        <v>444</v>
      </c>
      <c r="F645" s="14" t="s">
        <v>50</v>
      </c>
      <c r="G645" s="57">
        <f>G646+G647</f>
        <v>0</v>
      </c>
      <c r="H645" s="116"/>
      <c r="I645" s="117"/>
      <c r="J645" s="116"/>
      <c r="K645" s="80"/>
      <c r="L645" s="79"/>
      <c r="M645" s="79"/>
      <c r="AG645" s="79"/>
      <c r="AH645" s="79"/>
      <c r="DT645" s="99">
        <f t="shared" si="11"/>
        <v>0</v>
      </c>
    </row>
    <row r="646" spans="1:124" ht="93.75" hidden="1" x14ac:dyDescent="0.3">
      <c r="A646" s="143" t="s">
        <v>56</v>
      </c>
      <c r="B646" s="13">
        <v>936</v>
      </c>
      <c r="C646" s="14" t="s">
        <v>117</v>
      </c>
      <c r="D646" s="14" t="s">
        <v>169</v>
      </c>
      <c r="E646" s="14" t="s">
        <v>444</v>
      </c>
      <c r="F646" s="14" t="s">
        <v>57</v>
      </c>
      <c r="G646" s="57">
        <v>0</v>
      </c>
      <c r="H646" s="116"/>
      <c r="I646" s="117"/>
      <c r="J646" s="116"/>
      <c r="K646" s="80"/>
      <c r="L646" s="79"/>
      <c r="M646" s="79">
        <v>747.1</v>
      </c>
      <c r="AG646" s="79"/>
      <c r="AH646" s="79"/>
      <c r="AK646" s="79">
        <v>0</v>
      </c>
      <c r="AN646" s="150">
        <v>991.5</v>
      </c>
      <c r="BT646" s="151">
        <v>1869.8</v>
      </c>
      <c r="CD646" s="226">
        <v>1.0249999999999999</v>
      </c>
      <c r="CG646" s="194">
        <v>-1.7310000000000001</v>
      </c>
      <c r="CV646" s="268">
        <v>2056.8000000000002</v>
      </c>
      <c r="DT646" s="99">
        <f t="shared" si="11"/>
        <v>0</v>
      </c>
    </row>
    <row r="647" spans="1:124" ht="37.5" hidden="1" x14ac:dyDescent="0.3">
      <c r="A647" s="143" t="s">
        <v>425</v>
      </c>
      <c r="B647" s="13">
        <v>936</v>
      </c>
      <c r="C647" s="14" t="s">
        <v>117</v>
      </c>
      <c r="D647" s="14" t="s">
        <v>169</v>
      </c>
      <c r="E647" s="14" t="s">
        <v>444</v>
      </c>
      <c r="F647" s="14" t="s">
        <v>59</v>
      </c>
      <c r="G647" s="57">
        <v>0</v>
      </c>
      <c r="H647" s="116"/>
      <c r="I647" s="117"/>
      <c r="J647" s="116"/>
      <c r="K647" s="80"/>
      <c r="L647" s="79"/>
      <c r="M647" s="79">
        <v>75</v>
      </c>
      <c r="AG647" s="79"/>
      <c r="AH647" s="79"/>
      <c r="AK647" s="79">
        <v>0</v>
      </c>
      <c r="AN647" s="150">
        <v>161.9</v>
      </c>
      <c r="BT647" s="151">
        <v>149.4</v>
      </c>
      <c r="CD647" s="226">
        <v>-1.0249999999999999</v>
      </c>
      <c r="CG647" s="194">
        <v>1.7310000000000001</v>
      </c>
      <c r="CV647" s="268">
        <v>188.6</v>
      </c>
      <c r="DT647" s="99">
        <f t="shared" si="11"/>
        <v>0</v>
      </c>
    </row>
    <row r="648" spans="1:124" x14ac:dyDescent="0.3">
      <c r="A648" s="143" t="s">
        <v>82</v>
      </c>
      <c r="B648" s="13">
        <v>936</v>
      </c>
      <c r="C648" s="14" t="s">
        <v>117</v>
      </c>
      <c r="D648" s="14" t="s">
        <v>169</v>
      </c>
      <c r="E648" s="14" t="s">
        <v>235</v>
      </c>
      <c r="F648" s="14" t="s">
        <v>50</v>
      </c>
      <c r="G648" s="57">
        <f>G649+G650+G651</f>
        <v>3731.1</v>
      </c>
      <c r="H648" s="116"/>
      <c r="I648" s="117"/>
      <c r="J648" s="116"/>
      <c r="K648" s="80"/>
      <c r="L648" s="79"/>
      <c r="M648" s="79"/>
      <c r="AG648" s="79"/>
      <c r="AH648" s="79"/>
      <c r="DT648" s="99">
        <f t="shared" si="11"/>
        <v>0</v>
      </c>
    </row>
    <row r="649" spans="1:124" ht="93.75" x14ac:dyDescent="0.3">
      <c r="A649" s="143" t="s">
        <v>56</v>
      </c>
      <c r="B649" s="13">
        <v>936</v>
      </c>
      <c r="C649" s="14" t="s">
        <v>117</v>
      </c>
      <c r="D649" s="14" t="s">
        <v>169</v>
      </c>
      <c r="E649" s="14" t="s">
        <v>235</v>
      </c>
      <c r="F649" s="14" t="s">
        <v>57</v>
      </c>
      <c r="G649" s="57">
        <f>DT649</f>
        <v>3485.5</v>
      </c>
      <c r="H649" s="116">
        <v>991.5</v>
      </c>
      <c r="I649" s="117"/>
      <c r="J649" s="116"/>
      <c r="K649" s="80"/>
      <c r="L649" s="79"/>
      <c r="M649" s="79">
        <v>1350</v>
      </c>
      <c r="N649">
        <v>-571.29999999999995</v>
      </c>
      <c r="AG649" s="79"/>
      <c r="AH649" s="79"/>
      <c r="AK649" s="79">
        <v>1681.6</v>
      </c>
      <c r="BM649" s="100">
        <v>1107.3</v>
      </c>
      <c r="BU649" s="151">
        <v>762.5</v>
      </c>
      <c r="BX649" s="151">
        <v>3.1456300000000001</v>
      </c>
      <c r="CF649" s="194">
        <v>1.6719999999999999</v>
      </c>
      <c r="CP649" s="259">
        <v>-400.4</v>
      </c>
      <c r="CS649" s="264">
        <v>1883.9</v>
      </c>
      <c r="CV649" s="268">
        <v>5</v>
      </c>
      <c r="CX649" s="270">
        <v>138.19999999999999</v>
      </c>
      <c r="DD649" s="194">
        <f>1.57282+5</f>
        <v>6.5728200000000001</v>
      </c>
      <c r="DO649" s="274">
        <v>3485.5</v>
      </c>
      <c r="DT649" s="99">
        <f t="shared" si="11"/>
        <v>3485.5</v>
      </c>
    </row>
    <row r="650" spans="1:124" ht="37.5" x14ac:dyDescent="0.3">
      <c r="A650" s="143" t="s">
        <v>425</v>
      </c>
      <c r="B650" s="13">
        <v>936</v>
      </c>
      <c r="C650" s="14" t="s">
        <v>117</v>
      </c>
      <c r="D650" s="14" t="s">
        <v>169</v>
      </c>
      <c r="E650" s="14" t="s">
        <v>235</v>
      </c>
      <c r="F650" s="14" t="s">
        <v>59</v>
      </c>
      <c r="G650" s="57">
        <f>DT650</f>
        <v>245.60000000000002</v>
      </c>
      <c r="H650" s="116">
        <f>161.9+273</f>
        <v>434.9</v>
      </c>
      <c r="I650" s="117"/>
      <c r="J650" s="116"/>
      <c r="K650" s="80"/>
      <c r="L650" s="79"/>
      <c r="M650" s="79">
        <v>97.5</v>
      </c>
      <c r="N650">
        <v>195.5</v>
      </c>
      <c r="AG650" s="79"/>
      <c r="AH650" s="79">
        <v>-78.5</v>
      </c>
      <c r="AK650" s="79">
        <v>132.6</v>
      </c>
      <c r="AX650" s="101">
        <v>-273</v>
      </c>
      <c r="BM650" s="100">
        <v>149.4</v>
      </c>
      <c r="BX650" s="151">
        <v>-3.1456300000000001</v>
      </c>
      <c r="CF650" s="194">
        <v>-1.6719999999999999</v>
      </c>
      <c r="CS650" s="264">
        <f>89.3+134</f>
        <v>223.3</v>
      </c>
      <c r="CV650" s="268">
        <v>-5</v>
      </c>
      <c r="DD650" s="194">
        <v>-6.5728200000000001</v>
      </c>
      <c r="DQ650" s="99">
        <v>98.2</v>
      </c>
      <c r="DR650" s="99">
        <v>147.4</v>
      </c>
      <c r="DT650" s="99">
        <f t="shared" ref="DT650:DT713" si="12">DN650+DO650+DP650+DQ650+DR650+DS650</f>
        <v>245.60000000000002</v>
      </c>
    </row>
    <row r="651" spans="1:124" ht="37.5" hidden="1" x14ac:dyDescent="0.3">
      <c r="A651" s="162" t="s">
        <v>374</v>
      </c>
      <c r="B651" s="13">
        <v>936</v>
      </c>
      <c r="C651" s="14" t="s">
        <v>117</v>
      </c>
      <c r="D651" s="14" t="s">
        <v>169</v>
      </c>
      <c r="E651" s="14" t="s">
        <v>714</v>
      </c>
      <c r="F651" s="14" t="s">
        <v>50</v>
      </c>
      <c r="G651" s="57">
        <f>G652</f>
        <v>0</v>
      </c>
      <c r="H651" s="116"/>
      <c r="I651" s="117"/>
      <c r="J651" s="116"/>
      <c r="K651" s="80"/>
      <c r="L651" s="79"/>
      <c r="M651" s="79"/>
      <c r="AG651" s="79"/>
      <c r="AH651" s="79"/>
      <c r="DT651" s="99">
        <f t="shared" si="12"/>
        <v>0</v>
      </c>
    </row>
    <row r="652" spans="1:124" ht="93.75" hidden="1" x14ac:dyDescent="0.3">
      <c r="A652" s="143" t="s">
        <v>56</v>
      </c>
      <c r="B652" s="13">
        <v>936</v>
      </c>
      <c r="C652" s="14" t="s">
        <v>117</v>
      </c>
      <c r="D652" s="14" t="s">
        <v>169</v>
      </c>
      <c r="E652" s="14" t="s">
        <v>714</v>
      </c>
      <c r="F652" s="14" t="s">
        <v>57</v>
      </c>
      <c r="G652" s="57">
        <v>0</v>
      </c>
      <c r="H652" s="116"/>
      <c r="I652" s="117"/>
      <c r="J652" s="116"/>
      <c r="K652" s="80"/>
      <c r="L652" s="79"/>
      <c r="M652" s="79"/>
      <c r="AG652" s="79"/>
      <c r="AH652" s="79"/>
      <c r="AP652" s="151">
        <v>38.700000000000003</v>
      </c>
      <c r="DI652" s="270">
        <v>56.4</v>
      </c>
      <c r="DT652" s="99">
        <f t="shared" si="12"/>
        <v>0</v>
      </c>
    </row>
    <row r="653" spans="1:124" ht="75" x14ac:dyDescent="0.3">
      <c r="A653" s="156" t="s">
        <v>5</v>
      </c>
      <c r="B653" s="13">
        <v>936</v>
      </c>
      <c r="C653" s="14" t="s">
        <v>117</v>
      </c>
      <c r="D653" s="14" t="s">
        <v>169</v>
      </c>
      <c r="E653" s="15" t="s">
        <v>97</v>
      </c>
      <c r="F653" s="14" t="s">
        <v>50</v>
      </c>
      <c r="G653" s="57">
        <f>G655</f>
        <v>3175.7</v>
      </c>
      <c r="H653" s="116"/>
      <c r="I653" s="117"/>
      <c r="J653" s="116"/>
      <c r="K653" s="80"/>
      <c r="L653" s="79"/>
      <c r="M653" s="79"/>
      <c r="AG653" s="79"/>
      <c r="AH653" s="79"/>
      <c r="DT653" s="99">
        <f t="shared" si="12"/>
        <v>0</v>
      </c>
    </row>
    <row r="654" spans="1:124" ht="37.5" x14ac:dyDescent="0.3">
      <c r="A654" s="143" t="s">
        <v>52</v>
      </c>
      <c r="B654" s="13">
        <v>936</v>
      </c>
      <c r="C654" s="14" t="s">
        <v>117</v>
      </c>
      <c r="D654" s="14" t="s">
        <v>169</v>
      </c>
      <c r="E654" s="14" t="s">
        <v>237</v>
      </c>
      <c r="F654" s="14" t="s">
        <v>50</v>
      </c>
      <c r="G654" s="57">
        <f>G655</f>
        <v>3175.7</v>
      </c>
      <c r="H654" s="116"/>
      <c r="I654" s="117"/>
      <c r="J654" s="116"/>
      <c r="K654" s="80"/>
      <c r="L654" s="79"/>
      <c r="M654" s="79"/>
      <c r="AG654" s="79"/>
      <c r="AH654" s="79"/>
      <c r="DT654" s="99">
        <f t="shared" si="12"/>
        <v>0</v>
      </c>
    </row>
    <row r="655" spans="1:124" ht="28.5" customHeight="1" x14ac:dyDescent="0.3">
      <c r="A655" s="143" t="s">
        <v>236</v>
      </c>
      <c r="B655" s="13">
        <v>936</v>
      </c>
      <c r="C655" s="14" t="s">
        <v>117</v>
      </c>
      <c r="D655" s="14" t="s">
        <v>169</v>
      </c>
      <c r="E655" s="14" t="s">
        <v>238</v>
      </c>
      <c r="F655" s="14" t="s">
        <v>50</v>
      </c>
      <c r="G655" s="57">
        <f>G656+G657+G658+G664+G659</f>
        <v>3175.7</v>
      </c>
      <c r="H655" s="116"/>
      <c r="I655" s="117"/>
      <c r="J655" s="116"/>
      <c r="K655" s="80"/>
      <c r="L655" s="79"/>
      <c r="M655" s="79"/>
      <c r="AG655" s="79"/>
      <c r="AH655" s="79"/>
      <c r="DT655" s="99">
        <f t="shared" si="12"/>
        <v>0</v>
      </c>
    </row>
    <row r="656" spans="1:124" ht="93.75" x14ac:dyDescent="0.3">
      <c r="A656" s="143" t="s">
        <v>56</v>
      </c>
      <c r="B656" s="13">
        <v>936</v>
      </c>
      <c r="C656" s="14" t="s">
        <v>117</v>
      </c>
      <c r="D656" s="14" t="s">
        <v>169</v>
      </c>
      <c r="E656" s="14" t="s">
        <v>238</v>
      </c>
      <c r="F656" s="14" t="s">
        <v>57</v>
      </c>
      <c r="G656" s="57">
        <f>DT656</f>
        <v>2840</v>
      </c>
      <c r="H656" s="116">
        <v>1965</v>
      </c>
      <c r="I656" s="117"/>
      <c r="J656" s="116"/>
      <c r="K656" s="80"/>
      <c r="L656" s="79"/>
      <c r="M656" s="79">
        <v>1687.1</v>
      </c>
      <c r="AG656" s="79"/>
      <c r="AH656" s="79"/>
      <c r="AK656" s="79">
        <v>1634.3</v>
      </c>
      <c r="BM656" s="100">
        <v>2025.7</v>
      </c>
      <c r="CP656" s="259">
        <v>379.9</v>
      </c>
      <c r="CS656" s="264">
        <v>2444.9</v>
      </c>
      <c r="DO656" s="274">
        <v>2840</v>
      </c>
      <c r="DT656" s="99">
        <f t="shared" si="12"/>
        <v>2840</v>
      </c>
    </row>
    <row r="657" spans="1:124" ht="37.5" x14ac:dyDescent="0.3">
      <c r="A657" s="143" t="s">
        <v>425</v>
      </c>
      <c r="B657" s="13">
        <v>936</v>
      </c>
      <c r="C657" s="14" t="s">
        <v>117</v>
      </c>
      <c r="D657" s="14" t="s">
        <v>169</v>
      </c>
      <c r="E657" s="14" t="s">
        <v>238</v>
      </c>
      <c r="F657" s="14" t="s">
        <v>59</v>
      </c>
      <c r="G657" s="57">
        <f>DT657</f>
        <v>335.7</v>
      </c>
      <c r="H657" s="116">
        <v>285</v>
      </c>
      <c r="I657" s="117"/>
      <c r="J657" s="116"/>
      <c r="K657" s="80"/>
      <c r="L657" s="79"/>
      <c r="M657" s="79">
        <v>261.5</v>
      </c>
      <c r="T657">
        <v>5.5</v>
      </c>
      <c r="AG657" s="79"/>
      <c r="AH657" s="79">
        <v>-38.695999999999998</v>
      </c>
      <c r="AK657" s="79">
        <v>342.4</v>
      </c>
      <c r="BL657" s="194">
        <v>-28.321739999999998</v>
      </c>
      <c r="BM657" s="100">
        <v>293.8</v>
      </c>
      <c r="CS657" s="264">
        <f>42.7+230.2</f>
        <v>272.89999999999998</v>
      </c>
      <c r="CU657" s="258">
        <v>81</v>
      </c>
      <c r="CX657" s="270">
        <v>72</v>
      </c>
      <c r="CZ657" s="194">
        <v>280</v>
      </c>
      <c r="DH657" s="194">
        <v>-280</v>
      </c>
      <c r="DP657" s="99">
        <f>53.7+16.5</f>
        <v>70.2</v>
      </c>
      <c r="DQ657" s="99">
        <f>5.5+6.8</f>
        <v>12.3</v>
      </c>
      <c r="DR657" s="99">
        <v>253.2</v>
      </c>
      <c r="DT657" s="99">
        <f t="shared" si="12"/>
        <v>335.7</v>
      </c>
    </row>
    <row r="658" spans="1:124" x14ac:dyDescent="0.3">
      <c r="A658" s="143" t="s">
        <v>60</v>
      </c>
      <c r="B658" s="13">
        <v>936</v>
      </c>
      <c r="C658" s="14" t="s">
        <v>117</v>
      </c>
      <c r="D658" s="14" t="s">
        <v>169</v>
      </c>
      <c r="E658" s="14" t="s">
        <v>238</v>
      </c>
      <c r="F658" s="14" t="s">
        <v>61</v>
      </c>
      <c r="G658" s="57">
        <v>0</v>
      </c>
      <c r="H658" s="116">
        <v>10</v>
      </c>
      <c r="I658" s="117"/>
      <c r="J658" s="116"/>
      <c r="K658" s="80"/>
      <c r="L658" s="79"/>
      <c r="M658" s="79">
        <v>7.2</v>
      </c>
      <c r="T658">
        <v>5</v>
      </c>
      <c r="AG658" s="79"/>
      <c r="AH658" s="79"/>
      <c r="AK658" s="79">
        <v>0</v>
      </c>
      <c r="BM658" s="100">
        <v>5</v>
      </c>
      <c r="CS658" s="264">
        <v>5</v>
      </c>
      <c r="CY658" s="194">
        <v>37.5</v>
      </c>
      <c r="DT658" s="99">
        <f t="shared" si="12"/>
        <v>0</v>
      </c>
    </row>
    <row r="659" spans="1:124" ht="37.5" hidden="1" x14ac:dyDescent="0.3">
      <c r="A659" s="162" t="s">
        <v>374</v>
      </c>
      <c r="B659" s="13">
        <v>936</v>
      </c>
      <c r="C659" s="14" t="s">
        <v>117</v>
      </c>
      <c r="D659" s="14" t="s">
        <v>169</v>
      </c>
      <c r="E659" s="14" t="s">
        <v>715</v>
      </c>
      <c r="F659" s="14" t="s">
        <v>50</v>
      </c>
      <c r="G659" s="57">
        <f>G660</f>
        <v>0</v>
      </c>
      <c r="H659" s="116"/>
      <c r="I659" s="117"/>
      <c r="J659" s="116"/>
      <c r="K659" s="80"/>
      <c r="L659" s="79"/>
      <c r="M659" s="79"/>
      <c r="AG659" s="79"/>
      <c r="AH659" s="79"/>
      <c r="DT659" s="99">
        <f t="shared" si="12"/>
        <v>0</v>
      </c>
    </row>
    <row r="660" spans="1:124" ht="93.75" hidden="1" x14ac:dyDescent="0.3">
      <c r="A660" s="143" t="s">
        <v>56</v>
      </c>
      <c r="B660" s="13">
        <v>936</v>
      </c>
      <c r="C660" s="14" t="s">
        <v>117</v>
      </c>
      <c r="D660" s="14" t="s">
        <v>169</v>
      </c>
      <c r="E660" s="14" t="s">
        <v>715</v>
      </c>
      <c r="F660" s="14" t="s">
        <v>57</v>
      </c>
      <c r="G660" s="57">
        <v>0</v>
      </c>
      <c r="H660" s="116"/>
      <c r="I660" s="117"/>
      <c r="J660" s="116"/>
      <c r="K660" s="80"/>
      <c r="L660" s="79"/>
      <c r="M660" s="79"/>
      <c r="AG660" s="79"/>
      <c r="AH660" s="79"/>
      <c r="DI660" s="270">
        <v>31.1</v>
      </c>
      <c r="DT660" s="99">
        <f t="shared" si="12"/>
        <v>0</v>
      </c>
    </row>
    <row r="661" spans="1:124" x14ac:dyDescent="0.3">
      <c r="A661" s="143" t="s">
        <v>409</v>
      </c>
      <c r="B661" s="13">
        <v>936</v>
      </c>
      <c r="C661" s="14" t="s">
        <v>117</v>
      </c>
      <c r="D661" s="14" t="s">
        <v>169</v>
      </c>
      <c r="E661" s="14" t="s">
        <v>672</v>
      </c>
      <c r="F661" s="14" t="s">
        <v>50</v>
      </c>
      <c r="G661" s="57">
        <f>G662+G666</f>
        <v>440</v>
      </c>
      <c r="H661" s="116"/>
      <c r="I661" s="117"/>
      <c r="J661" s="116"/>
      <c r="K661" s="80"/>
      <c r="L661" s="79"/>
      <c r="M661" s="79"/>
      <c r="AG661" s="79"/>
      <c r="AH661" s="79"/>
      <c r="DT661" s="99">
        <f t="shared" si="12"/>
        <v>0</v>
      </c>
    </row>
    <row r="662" spans="1:124" ht="37.5" hidden="1" x14ac:dyDescent="0.3">
      <c r="A662" s="143" t="s">
        <v>673</v>
      </c>
      <c r="B662" s="13">
        <v>936</v>
      </c>
      <c r="C662" s="14" t="s">
        <v>117</v>
      </c>
      <c r="D662" s="14" t="s">
        <v>169</v>
      </c>
      <c r="E662" s="14" t="s">
        <v>675</v>
      </c>
      <c r="F662" s="14" t="s">
        <v>50</v>
      </c>
      <c r="G662" s="57">
        <f>G663</f>
        <v>0</v>
      </c>
      <c r="H662" s="116"/>
      <c r="I662" s="117"/>
      <c r="J662" s="116"/>
      <c r="K662" s="80"/>
      <c r="L662" s="79"/>
      <c r="M662" s="79"/>
      <c r="AG662" s="79"/>
      <c r="AH662" s="79"/>
      <c r="DT662" s="99">
        <f t="shared" si="12"/>
        <v>0</v>
      </c>
    </row>
    <row r="663" spans="1:124" hidden="1" x14ac:dyDescent="0.3">
      <c r="A663" s="143" t="s">
        <v>674</v>
      </c>
      <c r="B663" s="13">
        <v>936</v>
      </c>
      <c r="C663" s="14" t="s">
        <v>117</v>
      </c>
      <c r="D663" s="14" t="s">
        <v>169</v>
      </c>
      <c r="E663" s="14" t="s">
        <v>676</v>
      </c>
      <c r="F663" s="14" t="s">
        <v>59</v>
      </c>
      <c r="G663" s="57">
        <v>0</v>
      </c>
      <c r="H663" s="116"/>
      <c r="I663" s="117"/>
      <c r="J663" s="116"/>
      <c r="K663" s="80"/>
      <c r="L663" s="79"/>
      <c r="M663" s="79"/>
      <c r="AG663" s="79"/>
      <c r="AH663" s="79"/>
      <c r="AK663" s="79">
        <v>1814</v>
      </c>
      <c r="DT663" s="99">
        <f t="shared" si="12"/>
        <v>0</v>
      </c>
    </row>
    <row r="664" spans="1:124" ht="37.5" hidden="1" x14ac:dyDescent="0.3">
      <c r="A664" s="162" t="s">
        <v>374</v>
      </c>
      <c r="B664" s="13">
        <v>936</v>
      </c>
      <c r="C664" s="14" t="s">
        <v>117</v>
      </c>
      <c r="D664" s="14" t="s">
        <v>169</v>
      </c>
      <c r="E664" s="14" t="s">
        <v>715</v>
      </c>
      <c r="F664" s="14" t="s">
        <v>50</v>
      </c>
      <c r="G664" s="57">
        <f>G665</f>
        <v>0</v>
      </c>
      <c r="H664" s="116"/>
      <c r="I664" s="117"/>
      <c r="J664" s="116"/>
      <c r="K664" s="80"/>
      <c r="L664" s="79"/>
      <c r="M664" s="79"/>
      <c r="AG664" s="79"/>
      <c r="AH664" s="79"/>
      <c r="DT664" s="99">
        <f t="shared" si="12"/>
        <v>0</v>
      </c>
    </row>
    <row r="665" spans="1:124" ht="93.75" hidden="1" x14ac:dyDescent="0.3">
      <c r="A665" s="143" t="s">
        <v>56</v>
      </c>
      <c r="B665" s="13">
        <v>936</v>
      </c>
      <c r="C665" s="14" t="s">
        <v>117</v>
      </c>
      <c r="D665" s="14" t="s">
        <v>169</v>
      </c>
      <c r="E665" s="14" t="s">
        <v>715</v>
      </c>
      <c r="F665" s="14" t="s">
        <v>57</v>
      </c>
      <c r="G665" s="57">
        <v>0</v>
      </c>
      <c r="H665" s="116"/>
      <c r="I665" s="117"/>
      <c r="J665" s="116"/>
      <c r="K665" s="80"/>
      <c r="L665" s="79"/>
      <c r="M665" s="79"/>
      <c r="AG665" s="79"/>
      <c r="AH665" s="79"/>
      <c r="AP665" s="151">
        <v>106.3</v>
      </c>
      <c r="BK665" s="226">
        <v>43.6</v>
      </c>
      <c r="DT665" s="99">
        <f t="shared" si="12"/>
        <v>0</v>
      </c>
    </row>
    <row r="666" spans="1:124" ht="37.5" x14ac:dyDescent="0.3">
      <c r="A666" s="143" t="s">
        <v>793</v>
      </c>
      <c r="B666" s="13">
        <v>936</v>
      </c>
      <c r="C666" s="14" t="s">
        <v>117</v>
      </c>
      <c r="D666" s="14" t="s">
        <v>169</v>
      </c>
      <c r="E666" s="14" t="s">
        <v>792</v>
      </c>
      <c r="F666" s="14" t="s">
        <v>50</v>
      </c>
      <c r="G666" s="57">
        <f>G667</f>
        <v>440</v>
      </c>
      <c r="H666" s="116"/>
      <c r="I666" s="117"/>
      <c r="J666" s="116"/>
      <c r="K666" s="80"/>
      <c r="L666" s="79"/>
      <c r="M666" s="79"/>
      <c r="AG666" s="79"/>
      <c r="AH666" s="79"/>
      <c r="DT666" s="99">
        <f t="shared" si="12"/>
        <v>0</v>
      </c>
    </row>
    <row r="667" spans="1:124" ht="37.5" x14ac:dyDescent="0.3">
      <c r="A667" s="143" t="s">
        <v>425</v>
      </c>
      <c r="B667" s="13">
        <v>936</v>
      </c>
      <c r="C667" s="14" t="s">
        <v>117</v>
      </c>
      <c r="D667" s="14" t="s">
        <v>169</v>
      </c>
      <c r="E667" s="14" t="s">
        <v>792</v>
      </c>
      <c r="F667" s="14" t="s">
        <v>59</v>
      </c>
      <c r="G667" s="57">
        <f>DT667</f>
        <v>440</v>
      </c>
      <c r="H667" s="116"/>
      <c r="I667" s="117"/>
      <c r="J667" s="116"/>
      <c r="K667" s="80"/>
      <c r="L667" s="79"/>
      <c r="M667" s="79"/>
      <c r="AG667" s="79"/>
      <c r="AH667" s="79"/>
      <c r="BH667" s="233">
        <v>21.87</v>
      </c>
      <c r="BU667" s="151">
        <v>99.15</v>
      </c>
      <c r="CF667" s="194">
        <v>40</v>
      </c>
      <c r="CH667" s="258">
        <v>20</v>
      </c>
      <c r="CL667" s="194">
        <v>33.4</v>
      </c>
      <c r="CR667" s="99">
        <f>288+311.2+70+597.3</f>
        <v>1266.5</v>
      </c>
      <c r="CZ667" s="194">
        <v>500</v>
      </c>
      <c r="DR667" s="99">
        <v>300</v>
      </c>
      <c r="DS667" s="99">
        <f>90+50</f>
        <v>140</v>
      </c>
      <c r="DT667" s="99">
        <f t="shared" si="12"/>
        <v>440</v>
      </c>
    </row>
    <row r="668" spans="1:124" ht="56.25" hidden="1" customHeight="1" x14ac:dyDescent="0.3">
      <c r="A668" s="143" t="s">
        <v>816</v>
      </c>
      <c r="B668" s="13">
        <v>936</v>
      </c>
      <c r="C668" s="14" t="s">
        <v>117</v>
      </c>
      <c r="D668" s="14" t="s">
        <v>169</v>
      </c>
      <c r="E668" s="14" t="s">
        <v>817</v>
      </c>
      <c r="F668" s="14" t="s">
        <v>50</v>
      </c>
      <c r="G668" s="57">
        <f>G669</f>
        <v>0</v>
      </c>
      <c r="H668" s="116"/>
      <c r="I668" s="117"/>
      <c r="J668" s="116"/>
      <c r="K668" s="80"/>
      <c r="L668" s="79"/>
      <c r="M668" s="79"/>
      <c r="AG668" s="79"/>
      <c r="AH668" s="79"/>
      <c r="DT668" s="99">
        <f t="shared" si="12"/>
        <v>0</v>
      </c>
    </row>
    <row r="669" spans="1:124" ht="56.25" hidden="1" x14ac:dyDescent="0.3">
      <c r="A669" s="143" t="s">
        <v>290</v>
      </c>
      <c r="B669" s="13">
        <v>936</v>
      </c>
      <c r="C669" s="14" t="s">
        <v>117</v>
      </c>
      <c r="D669" s="14" t="s">
        <v>169</v>
      </c>
      <c r="E669" s="14" t="s">
        <v>817</v>
      </c>
      <c r="F669" s="14" t="s">
        <v>291</v>
      </c>
      <c r="G669" s="57">
        <v>0</v>
      </c>
      <c r="H669" s="116"/>
      <c r="I669" s="117"/>
      <c r="J669" s="116"/>
      <c r="K669" s="80"/>
      <c r="L669" s="79"/>
      <c r="M669" s="79"/>
      <c r="AG669" s="79"/>
      <c r="AH669" s="79"/>
      <c r="BT669" s="151">
        <v>60000</v>
      </c>
      <c r="CQ669" s="99">
        <v>62428.2</v>
      </c>
      <c r="CW669" s="268">
        <v>24847.7</v>
      </c>
      <c r="DT669" s="99">
        <f t="shared" si="12"/>
        <v>0</v>
      </c>
    </row>
    <row r="670" spans="1:124" ht="56.25" hidden="1" x14ac:dyDescent="0.3">
      <c r="A670" s="143" t="s">
        <v>816</v>
      </c>
      <c r="B670" s="13">
        <v>936</v>
      </c>
      <c r="C670" s="14" t="s">
        <v>117</v>
      </c>
      <c r="D670" s="14" t="s">
        <v>169</v>
      </c>
      <c r="E670" s="14" t="s">
        <v>820</v>
      </c>
      <c r="F670" s="14" t="s">
        <v>50</v>
      </c>
      <c r="G670" s="57">
        <f>G671</f>
        <v>0</v>
      </c>
      <c r="H670" s="116"/>
      <c r="I670" s="117"/>
      <c r="J670" s="116"/>
      <c r="K670" s="80"/>
      <c r="L670" s="79"/>
      <c r="M670" s="79"/>
      <c r="AG670" s="79"/>
      <c r="AH670" s="79"/>
      <c r="DT670" s="99">
        <f t="shared" si="12"/>
        <v>0</v>
      </c>
    </row>
    <row r="671" spans="1:124" ht="56.25" hidden="1" x14ac:dyDescent="0.3">
      <c r="A671" s="143" t="s">
        <v>290</v>
      </c>
      <c r="B671" s="13">
        <v>936</v>
      </c>
      <c r="C671" s="14" t="s">
        <v>117</v>
      </c>
      <c r="D671" s="14" t="s">
        <v>169</v>
      </c>
      <c r="E671" s="14" t="s">
        <v>820</v>
      </c>
      <c r="F671" s="14" t="s">
        <v>291</v>
      </c>
      <c r="G671" s="57">
        <v>0</v>
      </c>
      <c r="H671" s="116"/>
      <c r="I671" s="117"/>
      <c r="J671" s="116"/>
      <c r="K671" s="80"/>
      <c r="L671" s="79"/>
      <c r="M671" s="79"/>
      <c r="AG671" s="79"/>
      <c r="AH671" s="79"/>
      <c r="BU671" s="151">
        <v>606.1</v>
      </c>
      <c r="CQ671" s="99">
        <v>631</v>
      </c>
      <c r="CV671" s="268">
        <v>251</v>
      </c>
      <c r="DT671" s="99">
        <f t="shared" si="12"/>
        <v>0</v>
      </c>
    </row>
    <row r="672" spans="1:124" ht="56.25" x14ac:dyDescent="0.3">
      <c r="A672" s="155" t="s">
        <v>239</v>
      </c>
      <c r="B672" s="12">
        <v>936</v>
      </c>
      <c r="C672" s="9" t="s">
        <v>117</v>
      </c>
      <c r="D672" s="9" t="s">
        <v>240</v>
      </c>
      <c r="E672" s="9" t="s">
        <v>49</v>
      </c>
      <c r="F672" s="9" t="s">
        <v>50</v>
      </c>
      <c r="G672" s="68">
        <f>G673+G681+G683+G684+G692</f>
        <v>218.1</v>
      </c>
      <c r="H672" s="116"/>
      <c r="I672" s="117"/>
      <c r="J672" s="116"/>
      <c r="K672" s="80"/>
      <c r="L672" s="79"/>
      <c r="M672" s="79"/>
      <c r="AG672" s="79"/>
      <c r="AH672" s="79"/>
      <c r="DT672" s="99">
        <f t="shared" si="12"/>
        <v>0</v>
      </c>
    </row>
    <row r="673" spans="1:124" ht="58.5" customHeight="1" x14ac:dyDescent="0.3">
      <c r="A673" s="156" t="s">
        <v>0</v>
      </c>
      <c r="B673" s="13">
        <v>936</v>
      </c>
      <c r="C673" s="14" t="s">
        <v>117</v>
      </c>
      <c r="D673" s="14" t="s">
        <v>240</v>
      </c>
      <c r="E673" s="15" t="s">
        <v>92</v>
      </c>
      <c r="F673" s="14" t="s">
        <v>50</v>
      </c>
      <c r="G673" s="57">
        <f>G674</f>
        <v>157</v>
      </c>
      <c r="H673" s="116"/>
      <c r="I673" s="117"/>
      <c r="J673" s="116"/>
      <c r="K673" s="80"/>
      <c r="L673" s="79"/>
      <c r="M673" s="79"/>
      <c r="AG673" s="79"/>
      <c r="AH673" s="79"/>
      <c r="DT673" s="99">
        <f t="shared" si="12"/>
        <v>0</v>
      </c>
    </row>
    <row r="674" spans="1:124" ht="38.25" customHeight="1" x14ac:dyDescent="0.3">
      <c r="A674" s="162" t="s">
        <v>1</v>
      </c>
      <c r="B674" s="13">
        <v>936</v>
      </c>
      <c r="C674" s="14" t="s">
        <v>117</v>
      </c>
      <c r="D674" s="14" t="s">
        <v>240</v>
      </c>
      <c r="E674" s="15" t="s">
        <v>93</v>
      </c>
      <c r="F674" s="14" t="s">
        <v>50</v>
      </c>
      <c r="G674" s="57">
        <f>G675</f>
        <v>157</v>
      </c>
      <c r="H674" s="116"/>
      <c r="I674" s="117"/>
      <c r="J674" s="116"/>
      <c r="K674" s="80"/>
      <c r="L674" s="79"/>
      <c r="M674" s="79"/>
      <c r="AG674" s="79"/>
      <c r="AH674" s="79"/>
      <c r="DT674" s="99">
        <f t="shared" si="12"/>
        <v>0</v>
      </c>
    </row>
    <row r="675" spans="1:124" x14ac:dyDescent="0.3">
      <c r="A675" s="143" t="s">
        <v>62</v>
      </c>
      <c r="B675" s="13">
        <v>936</v>
      </c>
      <c r="C675" s="14" t="s">
        <v>117</v>
      </c>
      <c r="D675" s="14" t="s">
        <v>240</v>
      </c>
      <c r="E675" s="14" t="s">
        <v>403</v>
      </c>
      <c r="F675" s="14" t="s">
        <v>50</v>
      </c>
      <c r="G675" s="57">
        <f>G676</f>
        <v>157</v>
      </c>
      <c r="H675" s="116"/>
      <c r="I675" s="117"/>
      <c r="J675" s="116"/>
      <c r="K675" s="80"/>
      <c r="L675" s="79"/>
      <c r="M675" s="79"/>
      <c r="AG675" s="79"/>
      <c r="AH675" s="79"/>
      <c r="DT675" s="99">
        <f t="shared" si="12"/>
        <v>0</v>
      </c>
    </row>
    <row r="676" spans="1:124" ht="25.5" customHeight="1" x14ac:dyDescent="0.3">
      <c r="A676" s="143" t="s">
        <v>156</v>
      </c>
      <c r="B676" s="13">
        <v>936</v>
      </c>
      <c r="C676" s="14" t="s">
        <v>117</v>
      </c>
      <c r="D676" s="14" t="s">
        <v>240</v>
      </c>
      <c r="E676" s="14" t="s">
        <v>404</v>
      </c>
      <c r="F676" s="14" t="s">
        <v>50</v>
      </c>
      <c r="G676" s="57">
        <f>G678+G679</f>
        <v>157</v>
      </c>
      <c r="H676" s="116"/>
      <c r="I676" s="117"/>
      <c r="J676" s="116"/>
      <c r="K676" s="80"/>
      <c r="L676" s="79"/>
      <c r="M676" s="79"/>
      <c r="AG676" s="79"/>
      <c r="AH676" s="79"/>
      <c r="DT676" s="99">
        <f t="shared" si="12"/>
        <v>0</v>
      </c>
    </row>
    <row r="677" spans="1:124" ht="93.75" hidden="1" x14ac:dyDescent="0.3">
      <c r="A677" s="143" t="s">
        <v>56</v>
      </c>
      <c r="B677" s="13">
        <v>936</v>
      </c>
      <c r="C677" s="14" t="s">
        <v>117</v>
      </c>
      <c r="D677" s="14" t="s">
        <v>240</v>
      </c>
      <c r="E677" s="14" t="s">
        <v>404</v>
      </c>
      <c r="F677" s="14" t="s">
        <v>57</v>
      </c>
      <c r="G677" s="72">
        <v>0</v>
      </c>
      <c r="H677" s="116"/>
      <c r="I677" s="117"/>
      <c r="J677" s="116"/>
      <c r="K677" s="80"/>
      <c r="L677" s="79"/>
      <c r="M677" s="79"/>
      <c r="AG677" s="79"/>
      <c r="AH677" s="79"/>
      <c r="DT677" s="99">
        <f t="shared" si="12"/>
        <v>0</v>
      </c>
    </row>
    <row r="678" spans="1:124" ht="93.75" x14ac:dyDescent="0.3">
      <c r="A678" s="143" t="s">
        <v>56</v>
      </c>
      <c r="B678" s="13">
        <v>936</v>
      </c>
      <c r="C678" s="14" t="s">
        <v>117</v>
      </c>
      <c r="D678" s="14" t="s">
        <v>240</v>
      </c>
      <c r="E678" s="14" t="s">
        <v>404</v>
      </c>
      <c r="F678" s="14" t="s">
        <v>57</v>
      </c>
      <c r="G678" s="57">
        <f>DT678</f>
        <v>147</v>
      </c>
      <c r="H678" s="125">
        <v>40</v>
      </c>
      <c r="I678" s="126"/>
      <c r="J678" s="125"/>
      <c r="K678" s="80"/>
      <c r="L678" s="79"/>
      <c r="M678" s="79">
        <v>90</v>
      </c>
      <c r="AG678" s="79"/>
      <c r="AH678" s="79"/>
      <c r="AK678" s="79">
        <v>50</v>
      </c>
      <c r="AV678" s="194">
        <v>50</v>
      </c>
      <c r="AX678" s="101">
        <v>60</v>
      </c>
      <c r="BD678" s="226">
        <v>25</v>
      </c>
      <c r="BE678" s="226">
        <v>25</v>
      </c>
      <c r="BH678" s="233">
        <v>81</v>
      </c>
      <c r="BN678" s="237">
        <v>147</v>
      </c>
      <c r="CD678" s="226">
        <v>75</v>
      </c>
      <c r="CR678" s="99">
        <v>147</v>
      </c>
      <c r="DF678" s="194">
        <v>75</v>
      </c>
      <c r="DS678" s="99">
        <v>147</v>
      </c>
      <c r="DT678" s="99">
        <f t="shared" si="12"/>
        <v>147</v>
      </c>
    </row>
    <row r="679" spans="1:124" ht="37.5" x14ac:dyDescent="0.3">
      <c r="A679" s="143" t="s">
        <v>425</v>
      </c>
      <c r="B679" s="13">
        <v>936</v>
      </c>
      <c r="C679" s="14" t="s">
        <v>117</v>
      </c>
      <c r="D679" s="14" t="s">
        <v>240</v>
      </c>
      <c r="E679" s="14" t="s">
        <v>404</v>
      </c>
      <c r="F679" s="14" t="s">
        <v>59</v>
      </c>
      <c r="G679" s="72">
        <f>DT679</f>
        <v>10</v>
      </c>
      <c r="H679" s="116">
        <v>10</v>
      </c>
      <c r="I679" s="117"/>
      <c r="J679" s="116"/>
      <c r="K679" s="80"/>
      <c r="L679" s="79"/>
      <c r="M679" s="79">
        <v>-40</v>
      </c>
      <c r="AG679" s="79"/>
      <c r="AH679" s="79"/>
      <c r="AK679" s="79">
        <v>0</v>
      </c>
      <c r="AQ679" s="151">
        <v>5</v>
      </c>
      <c r="AV679" s="194">
        <v>4.25</v>
      </c>
      <c r="BL679" s="194">
        <v>-14.451000000000001</v>
      </c>
      <c r="BN679" s="237">
        <v>10</v>
      </c>
      <c r="CD679" s="226">
        <v>4.5999999999999996</v>
      </c>
      <c r="CR679" s="99">
        <v>10</v>
      </c>
      <c r="DS679" s="99">
        <v>10</v>
      </c>
      <c r="DT679" s="99">
        <f t="shared" si="12"/>
        <v>10</v>
      </c>
    </row>
    <row r="680" spans="1:124" x14ac:dyDescent="0.3">
      <c r="A680" s="143" t="s">
        <v>687</v>
      </c>
      <c r="B680" s="13">
        <v>936</v>
      </c>
      <c r="C680" s="14" t="s">
        <v>117</v>
      </c>
      <c r="D680" s="14" t="s">
        <v>240</v>
      </c>
      <c r="E680" s="113" t="s">
        <v>1179</v>
      </c>
      <c r="F680" s="14" t="s">
        <v>50</v>
      </c>
      <c r="G680" s="72">
        <f>G681</f>
        <v>56.5</v>
      </c>
      <c r="H680" s="116"/>
      <c r="I680" s="117"/>
      <c r="J680" s="116"/>
      <c r="K680" s="80"/>
      <c r="L680" s="79"/>
      <c r="M680" s="79"/>
      <c r="AG680" s="79"/>
      <c r="AH680" s="79"/>
      <c r="DT680" s="99">
        <f t="shared" si="12"/>
        <v>0</v>
      </c>
    </row>
    <row r="681" spans="1:124" ht="93.75" x14ac:dyDescent="0.3">
      <c r="A681" s="143" t="s">
        <v>56</v>
      </c>
      <c r="B681" s="13">
        <v>936</v>
      </c>
      <c r="C681" s="14" t="s">
        <v>117</v>
      </c>
      <c r="D681" s="14" t="s">
        <v>240</v>
      </c>
      <c r="E681" s="113" t="s">
        <v>1179</v>
      </c>
      <c r="F681" s="14" t="s">
        <v>57</v>
      </c>
      <c r="G681" s="72">
        <f>DT681</f>
        <v>56.5</v>
      </c>
      <c r="H681" s="116"/>
      <c r="I681" s="117">
        <v>50.5</v>
      </c>
      <c r="J681" s="116"/>
      <c r="K681" s="80"/>
      <c r="L681" s="79"/>
      <c r="M681" s="79"/>
      <c r="AG681" s="79"/>
      <c r="AH681" s="79"/>
      <c r="BC681" s="226">
        <v>-16.399999999999999</v>
      </c>
      <c r="BO681" s="238">
        <v>41.6</v>
      </c>
      <c r="CQ681" s="99">
        <v>26.61</v>
      </c>
      <c r="DN681" s="274">
        <v>56.5</v>
      </c>
      <c r="DT681" s="99">
        <f t="shared" si="12"/>
        <v>56.5</v>
      </c>
    </row>
    <row r="682" spans="1:124" x14ac:dyDescent="0.3">
      <c r="A682" s="143" t="s">
        <v>687</v>
      </c>
      <c r="B682" s="13">
        <v>936</v>
      </c>
      <c r="C682" s="14" t="s">
        <v>117</v>
      </c>
      <c r="D682" s="14" t="s">
        <v>240</v>
      </c>
      <c r="E682" s="113" t="s">
        <v>1180</v>
      </c>
      <c r="F682" s="14" t="s">
        <v>50</v>
      </c>
      <c r="G682" s="72">
        <f>G683</f>
        <v>0.6</v>
      </c>
      <c r="H682" s="116"/>
      <c r="I682" s="117"/>
      <c r="J682" s="116"/>
      <c r="K682" s="80"/>
      <c r="L682" s="79"/>
      <c r="M682" s="79"/>
      <c r="AG682" s="79"/>
      <c r="AH682" s="79"/>
      <c r="DT682" s="99">
        <f t="shared" si="12"/>
        <v>0</v>
      </c>
    </row>
    <row r="683" spans="1:124" ht="93.75" x14ac:dyDescent="0.3">
      <c r="A683" s="143" t="s">
        <v>56</v>
      </c>
      <c r="B683" s="13">
        <v>936</v>
      </c>
      <c r="C683" s="14" t="s">
        <v>117</v>
      </c>
      <c r="D683" s="14" t="s">
        <v>240</v>
      </c>
      <c r="E683" s="113" t="s">
        <v>1180</v>
      </c>
      <c r="F683" s="14" t="s">
        <v>57</v>
      </c>
      <c r="G683" s="72">
        <f>DT683</f>
        <v>0.6</v>
      </c>
      <c r="H683" s="116"/>
      <c r="I683" s="117"/>
      <c r="J683" s="116">
        <v>0.6</v>
      </c>
      <c r="K683" s="80"/>
      <c r="L683" s="79"/>
      <c r="M683" s="79"/>
      <c r="AG683" s="79"/>
      <c r="AH683" s="79"/>
      <c r="BP683" s="239">
        <v>0.5</v>
      </c>
      <c r="CQ683" s="99">
        <v>0.4</v>
      </c>
      <c r="DN683" s="274">
        <v>0.6</v>
      </c>
      <c r="DT683" s="99">
        <f t="shared" si="12"/>
        <v>0.6</v>
      </c>
    </row>
    <row r="684" spans="1:124" ht="75" hidden="1" x14ac:dyDescent="0.3">
      <c r="A684" s="156" t="s">
        <v>5</v>
      </c>
      <c r="B684" s="13">
        <v>936</v>
      </c>
      <c r="C684" s="14" t="s">
        <v>117</v>
      </c>
      <c r="D684" s="14" t="s">
        <v>240</v>
      </c>
      <c r="E684" s="15" t="s">
        <v>97</v>
      </c>
      <c r="F684" s="14" t="s">
        <v>50</v>
      </c>
      <c r="G684" s="72">
        <f>G685+G689+G690</f>
        <v>0</v>
      </c>
      <c r="H684" s="116"/>
      <c r="I684" s="117"/>
      <c r="J684" s="116"/>
      <c r="K684" s="80"/>
      <c r="L684" s="79"/>
      <c r="M684" s="79"/>
      <c r="AG684" s="79"/>
      <c r="AH684" s="79"/>
      <c r="DT684" s="99">
        <f t="shared" si="12"/>
        <v>0</v>
      </c>
    </row>
    <row r="685" spans="1:124" ht="37.5" hidden="1" x14ac:dyDescent="0.3">
      <c r="A685" s="143" t="s">
        <v>52</v>
      </c>
      <c r="B685" s="13">
        <v>936</v>
      </c>
      <c r="C685" s="14" t="s">
        <v>117</v>
      </c>
      <c r="D685" s="14" t="s">
        <v>240</v>
      </c>
      <c r="E685" s="14" t="s">
        <v>237</v>
      </c>
      <c r="F685" s="14" t="s">
        <v>50</v>
      </c>
      <c r="G685" s="72">
        <f>G686</f>
        <v>0</v>
      </c>
      <c r="H685" s="116"/>
      <c r="I685" s="117"/>
      <c r="J685" s="116"/>
      <c r="K685" s="80"/>
      <c r="L685" s="79"/>
      <c r="M685" s="79"/>
      <c r="AG685" s="79"/>
      <c r="AH685" s="79"/>
      <c r="DT685" s="99">
        <f t="shared" si="12"/>
        <v>0</v>
      </c>
    </row>
    <row r="686" spans="1:124" hidden="1" x14ac:dyDescent="0.3">
      <c r="A686" s="143" t="s">
        <v>236</v>
      </c>
      <c r="B686" s="13">
        <v>936</v>
      </c>
      <c r="C686" s="14" t="s">
        <v>117</v>
      </c>
      <c r="D686" s="14" t="s">
        <v>240</v>
      </c>
      <c r="E686" s="14" t="s">
        <v>238</v>
      </c>
      <c r="F686" s="14" t="s">
        <v>50</v>
      </c>
      <c r="G686" s="72">
        <f>G687+BL686</f>
        <v>0</v>
      </c>
      <c r="H686" s="116"/>
      <c r="I686" s="117"/>
      <c r="J686" s="116"/>
      <c r="K686" s="80"/>
      <c r="L686" s="79"/>
      <c r="M686" s="79"/>
      <c r="AG686" s="79"/>
      <c r="AH686" s="79"/>
      <c r="DT686" s="99">
        <f t="shared" si="12"/>
        <v>0</v>
      </c>
    </row>
    <row r="687" spans="1:124" ht="37.5" hidden="1" x14ac:dyDescent="0.3">
      <c r="A687" s="143" t="s">
        <v>425</v>
      </c>
      <c r="B687" s="13">
        <v>936</v>
      </c>
      <c r="C687" s="14" t="s">
        <v>117</v>
      </c>
      <c r="D687" s="14" t="s">
        <v>240</v>
      </c>
      <c r="E687" s="14" t="s">
        <v>238</v>
      </c>
      <c r="F687" s="14" t="s">
        <v>59</v>
      </c>
      <c r="G687" s="72">
        <v>0</v>
      </c>
      <c r="H687" s="116"/>
      <c r="I687" s="117"/>
      <c r="J687" s="116"/>
      <c r="K687" s="80"/>
      <c r="L687" s="79"/>
      <c r="M687" s="79"/>
      <c r="AG687" s="79"/>
      <c r="AH687" s="79"/>
      <c r="BE687" s="226">
        <v>300</v>
      </c>
      <c r="BH687" s="233">
        <v>-264.06110000000001</v>
      </c>
      <c r="BL687" s="194">
        <v>-35.938000000000002</v>
      </c>
      <c r="CD687" s="226">
        <v>250</v>
      </c>
      <c r="CF687" s="194">
        <v>2.6</v>
      </c>
      <c r="CL687" s="194">
        <v>-252.5</v>
      </c>
      <c r="DT687" s="99">
        <f t="shared" si="12"/>
        <v>0</v>
      </c>
    </row>
    <row r="688" spans="1:124" ht="37.5" hidden="1" x14ac:dyDescent="0.3">
      <c r="A688" s="143" t="s">
        <v>787</v>
      </c>
      <c r="B688" s="13">
        <v>936</v>
      </c>
      <c r="C688" s="14" t="s">
        <v>117</v>
      </c>
      <c r="D688" s="14" t="s">
        <v>240</v>
      </c>
      <c r="E688" s="14" t="s">
        <v>898</v>
      </c>
      <c r="F688" s="14" t="s">
        <v>50</v>
      </c>
      <c r="G688" s="72">
        <f>G689</f>
        <v>0</v>
      </c>
      <c r="H688" s="116"/>
      <c r="I688" s="117"/>
      <c r="J688" s="116"/>
      <c r="K688" s="80"/>
      <c r="L688" s="79"/>
      <c r="M688" s="79"/>
      <c r="AG688" s="79"/>
      <c r="AH688" s="79"/>
      <c r="DT688" s="99">
        <f t="shared" si="12"/>
        <v>0</v>
      </c>
    </row>
    <row r="689" spans="1:124" ht="37.5" hidden="1" x14ac:dyDescent="0.3">
      <c r="A689" s="143" t="s">
        <v>425</v>
      </c>
      <c r="B689" s="13">
        <v>936</v>
      </c>
      <c r="C689" s="14" t="s">
        <v>117</v>
      </c>
      <c r="D689" s="14" t="s">
        <v>240</v>
      </c>
      <c r="E689" s="14" t="s">
        <v>898</v>
      </c>
      <c r="F689" s="14" t="s">
        <v>59</v>
      </c>
      <c r="G689" s="72">
        <v>0</v>
      </c>
      <c r="H689" s="116"/>
      <c r="I689" s="117"/>
      <c r="J689" s="116"/>
      <c r="K689" s="80"/>
      <c r="L689" s="79"/>
      <c r="M689" s="79"/>
      <c r="AG689" s="79"/>
      <c r="AH689" s="79"/>
      <c r="BE689" s="226">
        <v>300</v>
      </c>
      <c r="CC689" s="245">
        <v>250</v>
      </c>
      <c r="DT689" s="99">
        <f t="shared" si="12"/>
        <v>0</v>
      </c>
    </row>
    <row r="690" spans="1:124" ht="37.5" hidden="1" x14ac:dyDescent="0.3">
      <c r="A690" s="143" t="s">
        <v>787</v>
      </c>
      <c r="B690" s="13">
        <v>936</v>
      </c>
      <c r="C690" s="14" t="s">
        <v>117</v>
      </c>
      <c r="D690" s="14" t="s">
        <v>240</v>
      </c>
      <c r="E690" s="14" t="s">
        <v>899</v>
      </c>
      <c r="F690" s="14" t="s">
        <v>50</v>
      </c>
      <c r="G690" s="72">
        <f>G691</f>
        <v>0</v>
      </c>
      <c r="H690" s="116"/>
      <c r="I690" s="117"/>
      <c r="J690" s="116"/>
      <c r="K690" s="80"/>
      <c r="L690" s="79"/>
      <c r="M690" s="79"/>
      <c r="AG690" s="79"/>
      <c r="AH690" s="79"/>
      <c r="DT690" s="99">
        <f t="shared" si="12"/>
        <v>0</v>
      </c>
    </row>
    <row r="691" spans="1:124" ht="37.5" hidden="1" x14ac:dyDescent="0.3">
      <c r="A691" s="143" t="s">
        <v>425</v>
      </c>
      <c r="B691" s="13">
        <v>936</v>
      </c>
      <c r="C691" s="14" t="s">
        <v>117</v>
      </c>
      <c r="D691" s="14" t="s">
        <v>240</v>
      </c>
      <c r="E691" s="14" t="s">
        <v>899</v>
      </c>
      <c r="F691" s="14" t="s">
        <v>59</v>
      </c>
      <c r="G691" s="72">
        <v>0</v>
      </c>
      <c r="H691" s="116"/>
      <c r="I691" s="117"/>
      <c r="J691" s="116"/>
      <c r="K691" s="80"/>
      <c r="L691" s="79"/>
      <c r="M691" s="79"/>
      <c r="AG691" s="79"/>
      <c r="AH691" s="79"/>
      <c r="BE691" s="226">
        <v>3.1</v>
      </c>
      <c r="CC691" s="245">
        <v>2.6</v>
      </c>
      <c r="DT691" s="99">
        <f t="shared" si="12"/>
        <v>0</v>
      </c>
    </row>
    <row r="692" spans="1:124" ht="73.5" customHeight="1" x14ac:dyDescent="0.3">
      <c r="A692" s="262" t="s">
        <v>949</v>
      </c>
      <c r="B692" s="13">
        <v>936</v>
      </c>
      <c r="C692" s="14" t="s">
        <v>117</v>
      </c>
      <c r="D692" s="14" t="s">
        <v>240</v>
      </c>
      <c r="E692" s="14" t="s">
        <v>947</v>
      </c>
      <c r="F692" s="14" t="s">
        <v>50</v>
      </c>
      <c r="G692" s="72">
        <f>G693</f>
        <v>4</v>
      </c>
      <c r="H692" s="116"/>
      <c r="I692" s="117"/>
      <c r="J692" s="116"/>
      <c r="K692" s="80"/>
      <c r="L692" s="79"/>
      <c r="M692" s="79"/>
      <c r="AG692" s="79"/>
      <c r="AH692" s="79"/>
      <c r="DT692" s="99">
        <f t="shared" si="12"/>
        <v>0</v>
      </c>
    </row>
    <row r="693" spans="1:124" ht="37.5" x14ac:dyDescent="0.3">
      <c r="A693" s="143" t="s">
        <v>793</v>
      </c>
      <c r="B693" s="13">
        <v>936</v>
      </c>
      <c r="C693" s="14" t="s">
        <v>117</v>
      </c>
      <c r="D693" s="14" t="s">
        <v>240</v>
      </c>
      <c r="E693" s="14" t="s">
        <v>948</v>
      </c>
      <c r="F693" s="14" t="s">
        <v>50</v>
      </c>
      <c r="G693" s="72">
        <f>G694</f>
        <v>4</v>
      </c>
      <c r="H693" s="116"/>
      <c r="I693" s="117"/>
      <c r="J693" s="116"/>
      <c r="K693" s="80"/>
      <c r="L693" s="79"/>
      <c r="M693" s="79"/>
      <c r="AG693" s="79"/>
      <c r="AH693" s="79"/>
      <c r="DT693" s="99">
        <f t="shared" si="12"/>
        <v>0</v>
      </c>
    </row>
    <row r="694" spans="1:124" ht="37.5" x14ac:dyDescent="0.3">
      <c r="A694" s="143" t="s">
        <v>425</v>
      </c>
      <c r="B694" s="13">
        <v>936</v>
      </c>
      <c r="C694" s="14" t="s">
        <v>117</v>
      </c>
      <c r="D694" s="14" t="s">
        <v>240</v>
      </c>
      <c r="E694" s="14" t="s">
        <v>948</v>
      </c>
      <c r="F694" s="14" t="s">
        <v>59</v>
      </c>
      <c r="G694" s="72">
        <f>DT694</f>
        <v>4</v>
      </c>
      <c r="H694" s="116"/>
      <c r="I694" s="117"/>
      <c r="J694" s="116"/>
      <c r="K694" s="80"/>
      <c r="L694" s="79"/>
      <c r="M694" s="79"/>
      <c r="AG694" s="79"/>
      <c r="AH694" s="79"/>
      <c r="CR694" s="99">
        <v>4</v>
      </c>
      <c r="DS694" s="99">
        <v>4</v>
      </c>
      <c r="DT694" s="99">
        <f t="shared" si="12"/>
        <v>4</v>
      </c>
    </row>
    <row r="695" spans="1:124" x14ac:dyDescent="0.3">
      <c r="A695" s="155" t="s">
        <v>243</v>
      </c>
      <c r="B695" s="12">
        <v>936</v>
      </c>
      <c r="C695" s="19" t="s">
        <v>121</v>
      </c>
      <c r="D695" s="19" t="s">
        <v>112</v>
      </c>
      <c r="E695" s="12" t="s">
        <v>49</v>
      </c>
      <c r="F695" s="9" t="s">
        <v>50</v>
      </c>
      <c r="G695" s="68">
        <f>G696+G722+G866+G705</f>
        <v>74707.199999999997</v>
      </c>
      <c r="H695" s="116"/>
      <c r="I695" s="117"/>
      <c r="J695" s="116"/>
      <c r="K695" s="80"/>
      <c r="L695" s="79"/>
      <c r="M695" s="79"/>
      <c r="AG695" s="79"/>
      <c r="AH695" s="79"/>
      <c r="DT695" s="99">
        <f t="shared" si="12"/>
        <v>0</v>
      </c>
    </row>
    <row r="696" spans="1:124" hidden="1" x14ac:dyDescent="0.3">
      <c r="A696" s="214" t="s">
        <v>244</v>
      </c>
      <c r="B696" s="12">
        <v>936</v>
      </c>
      <c r="C696" s="19" t="s">
        <v>121</v>
      </c>
      <c r="D696" s="19" t="s">
        <v>209</v>
      </c>
      <c r="E696" s="12" t="s">
        <v>49</v>
      </c>
      <c r="F696" s="9" t="s">
        <v>50</v>
      </c>
      <c r="G696" s="68">
        <f>G697</f>
        <v>0</v>
      </c>
      <c r="H696" s="116"/>
      <c r="I696" s="117"/>
      <c r="J696" s="116"/>
      <c r="K696" s="80"/>
      <c r="L696" s="79"/>
      <c r="M696" s="79"/>
      <c r="AG696" s="79"/>
      <c r="AH696" s="79"/>
      <c r="DT696" s="99">
        <f t="shared" si="12"/>
        <v>0</v>
      </c>
    </row>
    <row r="697" spans="1:124" ht="45" hidden="1" customHeight="1" x14ac:dyDescent="0.3">
      <c r="A697" s="156" t="s">
        <v>161</v>
      </c>
      <c r="B697" s="13">
        <v>936</v>
      </c>
      <c r="C697" s="6" t="s">
        <v>121</v>
      </c>
      <c r="D697" s="6" t="s">
        <v>209</v>
      </c>
      <c r="E697" s="15" t="s">
        <v>99</v>
      </c>
      <c r="F697" s="14" t="s">
        <v>50</v>
      </c>
      <c r="G697" s="57">
        <f>G698</f>
        <v>0</v>
      </c>
      <c r="H697" s="116"/>
      <c r="I697" s="117"/>
      <c r="J697" s="116"/>
      <c r="K697" s="80"/>
      <c r="L697" s="79"/>
      <c r="M697" s="79"/>
      <c r="AG697" s="79"/>
      <c r="AH697" s="79"/>
      <c r="DT697" s="99">
        <f t="shared" si="12"/>
        <v>0</v>
      </c>
    </row>
    <row r="698" spans="1:124" ht="37.5" hidden="1" x14ac:dyDescent="0.3">
      <c r="A698" s="162" t="s">
        <v>10</v>
      </c>
      <c r="B698" s="13">
        <v>936</v>
      </c>
      <c r="C698" s="6" t="s">
        <v>121</v>
      </c>
      <c r="D698" s="6" t="s">
        <v>209</v>
      </c>
      <c r="E698" s="15" t="s">
        <v>28</v>
      </c>
      <c r="F698" s="14" t="s">
        <v>50</v>
      </c>
      <c r="G698" s="57">
        <f>G702+G699</f>
        <v>0</v>
      </c>
      <c r="H698" s="116"/>
      <c r="I698" s="117"/>
      <c r="J698" s="116"/>
      <c r="K698" s="80"/>
      <c r="L698" s="79"/>
      <c r="M698" s="79"/>
      <c r="AG698" s="79"/>
      <c r="AH698" s="79"/>
      <c r="DT698" s="99">
        <f t="shared" si="12"/>
        <v>0</v>
      </c>
    </row>
    <row r="699" spans="1:124" hidden="1" x14ac:dyDescent="0.3">
      <c r="A699" s="143" t="s">
        <v>62</v>
      </c>
      <c r="B699" s="13">
        <v>936</v>
      </c>
      <c r="C699" s="6" t="s">
        <v>121</v>
      </c>
      <c r="D699" s="6" t="s">
        <v>209</v>
      </c>
      <c r="E699" s="15" t="s">
        <v>282</v>
      </c>
      <c r="F699" s="14" t="s">
        <v>50</v>
      </c>
      <c r="G699" s="57">
        <f>G700</f>
        <v>0</v>
      </c>
      <c r="H699" s="116"/>
      <c r="I699" s="117"/>
      <c r="J699" s="116"/>
      <c r="K699" s="80"/>
      <c r="L699" s="79"/>
      <c r="M699" s="79"/>
      <c r="AG699" s="79"/>
      <c r="AH699" s="79"/>
      <c r="DT699" s="99">
        <f t="shared" si="12"/>
        <v>0</v>
      </c>
    </row>
    <row r="700" spans="1:124" hidden="1" x14ac:dyDescent="0.3">
      <c r="A700" s="143" t="s">
        <v>289</v>
      </c>
      <c r="B700" s="13">
        <v>936</v>
      </c>
      <c r="C700" s="6" t="s">
        <v>121</v>
      </c>
      <c r="D700" s="6" t="s">
        <v>209</v>
      </c>
      <c r="E700" s="15" t="s">
        <v>292</v>
      </c>
      <c r="F700" s="14" t="s">
        <v>50</v>
      </c>
      <c r="G700" s="57">
        <f>G701</f>
        <v>0</v>
      </c>
      <c r="H700" s="116"/>
      <c r="I700" s="117"/>
      <c r="J700" s="116"/>
      <c r="K700" s="80"/>
      <c r="L700" s="79"/>
      <c r="M700" s="79"/>
      <c r="AG700" s="79"/>
      <c r="AH700" s="79"/>
      <c r="DT700" s="99">
        <f t="shared" si="12"/>
        <v>0</v>
      </c>
    </row>
    <row r="701" spans="1:124" hidden="1" x14ac:dyDescent="0.3">
      <c r="A701" s="143" t="s">
        <v>60</v>
      </c>
      <c r="B701" s="13">
        <v>936</v>
      </c>
      <c r="C701" s="6" t="s">
        <v>121</v>
      </c>
      <c r="D701" s="6" t="s">
        <v>209</v>
      </c>
      <c r="E701" s="15" t="s">
        <v>292</v>
      </c>
      <c r="F701" s="14" t="s">
        <v>61</v>
      </c>
      <c r="G701" s="57">
        <v>0</v>
      </c>
      <c r="H701" s="116"/>
      <c r="I701" s="117"/>
      <c r="J701" s="116"/>
      <c r="K701" s="80"/>
      <c r="L701" s="79"/>
      <c r="M701" s="79"/>
      <c r="AG701" s="79"/>
      <c r="AH701" s="79"/>
      <c r="DT701" s="99">
        <f t="shared" si="12"/>
        <v>0</v>
      </c>
    </row>
    <row r="702" spans="1:124" ht="75" hidden="1" x14ac:dyDescent="0.3">
      <c r="A702" s="143" t="s">
        <v>173</v>
      </c>
      <c r="B702" s="13">
        <v>936</v>
      </c>
      <c r="C702" s="14" t="s">
        <v>121</v>
      </c>
      <c r="D702" s="14" t="s">
        <v>209</v>
      </c>
      <c r="E702" s="14" t="s">
        <v>245</v>
      </c>
      <c r="F702" s="14" t="s">
        <v>50</v>
      </c>
      <c r="G702" s="57">
        <f>G703</f>
        <v>0</v>
      </c>
      <c r="H702" s="116"/>
      <c r="I702" s="117"/>
      <c r="J702" s="116"/>
      <c r="K702" s="80"/>
      <c r="L702" s="79"/>
      <c r="M702" s="79"/>
      <c r="AG702" s="79"/>
      <c r="AH702" s="79"/>
      <c r="DT702" s="99">
        <f t="shared" si="12"/>
        <v>0</v>
      </c>
    </row>
    <row r="703" spans="1:124" ht="139.5" hidden="1" customHeight="1" x14ac:dyDescent="0.3">
      <c r="A703" s="143" t="s">
        <v>534</v>
      </c>
      <c r="B703" s="13">
        <v>936</v>
      </c>
      <c r="C703" s="14" t="s">
        <v>121</v>
      </c>
      <c r="D703" s="14" t="s">
        <v>209</v>
      </c>
      <c r="E703" s="14" t="s">
        <v>246</v>
      </c>
      <c r="F703" s="14" t="s">
        <v>50</v>
      </c>
      <c r="G703" s="57">
        <f>G704</f>
        <v>0</v>
      </c>
      <c r="H703" s="116"/>
      <c r="I703" s="117"/>
      <c r="J703" s="116"/>
      <c r="K703" s="80"/>
      <c r="L703" s="79"/>
      <c r="M703" s="79"/>
      <c r="AG703" s="79"/>
      <c r="AH703" s="79"/>
      <c r="DT703" s="99">
        <f t="shared" si="12"/>
        <v>0</v>
      </c>
    </row>
    <row r="704" spans="1:124" ht="37.5" hidden="1" x14ac:dyDescent="0.3">
      <c r="A704" s="143" t="s">
        <v>425</v>
      </c>
      <c r="B704" s="13">
        <v>936</v>
      </c>
      <c r="C704" s="14" t="s">
        <v>121</v>
      </c>
      <c r="D704" s="14" t="s">
        <v>209</v>
      </c>
      <c r="E704" s="14" t="s">
        <v>246</v>
      </c>
      <c r="F704" s="14" t="s">
        <v>59</v>
      </c>
      <c r="G704" s="57">
        <v>0</v>
      </c>
      <c r="H704" s="116"/>
      <c r="I704" s="117"/>
      <c r="J704" s="116"/>
      <c r="K704" s="80"/>
      <c r="L704" s="79"/>
      <c r="M704" s="79"/>
      <c r="AG704" s="79"/>
      <c r="AH704" s="79"/>
      <c r="AK704" s="79">
        <v>369.2</v>
      </c>
      <c r="DT704" s="99">
        <f t="shared" si="12"/>
        <v>0</v>
      </c>
    </row>
    <row r="705" spans="1:124" x14ac:dyDescent="0.3">
      <c r="A705" s="215" t="s">
        <v>343</v>
      </c>
      <c r="B705" s="74">
        <v>936</v>
      </c>
      <c r="C705" s="41" t="s">
        <v>121</v>
      </c>
      <c r="D705" s="41" t="s">
        <v>130</v>
      </c>
      <c r="E705" s="74" t="s">
        <v>49</v>
      </c>
      <c r="F705" s="41" t="s">
        <v>50</v>
      </c>
      <c r="G705" s="68">
        <f>G712</f>
        <v>100.2</v>
      </c>
      <c r="H705" s="116"/>
      <c r="I705" s="117"/>
      <c r="J705" s="116"/>
      <c r="K705" s="80"/>
      <c r="L705" s="79"/>
      <c r="M705" s="79"/>
      <c r="AG705" s="79"/>
      <c r="AH705" s="79"/>
      <c r="DT705" s="99">
        <f t="shared" si="12"/>
        <v>0</v>
      </c>
    </row>
    <row r="706" spans="1:124" ht="46.5" hidden="1" customHeight="1" x14ac:dyDescent="0.3">
      <c r="A706" s="156" t="s">
        <v>161</v>
      </c>
      <c r="B706" s="13">
        <v>936</v>
      </c>
      <c r="C706" s="6" t="s">
        <v>121</v>
      </c>
      <c r="D706" s="6" t="s">
        <v>130</v>
      </c>
      <c r="E706" s="15" t="s">
        <v>99</v>
      </c>
      <c r="F706" s="14" t="s">
        <v>50</v>
      </c>
      <c r="G706" s="57">
        <f>G707</f>
        <v>0</v>
      </c>
      <c r="H706" s="116"/>
      <c r="I706" s="117"/>
      <c r="J706" s="116"/>
      <c r="K706" s="80"/>
      <c r="L706" s="79"/>
      <c r="M706" s="79"/>
      <c r="AG706" s="79"/>
      <c r="AH706" s="79"/>
      <c r="DT706" s="99">
        <f t="shared" si="12"/>
        <v>0</v>
      </c>
    </row>
    <row r="707" spans="1:124" hidden="1" x14ac:dyDescent="0.3">
      <c r="A707" s="163" t="s">
        <v>409</v>
      </c>
      <c r="B707" s="13">
        <v>936</v>
      </c>
      <c r="C707" s="14" t="s">
        <v>121</v>
      </c>
      <c r="D707" s="6" t="s">
        <v>130</v>
      </c>
      <c r="E707" s="14" t="s">
        <v>421</v>
      </c>
      <c r="F707" s="14" t="s">
        <v>50</v>
      </c>
      <c r="G707" s="57">
        <f>G708+G710</f>
        <v>0</v>
      </c>
      <c r="H707" s="116"/>
      <c r="I707" s="117"/>
      <c r="J707" s="116"/>
      <c r="K707" s="80"/>
      <c r="L707" s="79"/>
      <c r="M707" s="79"/>
      <c r="AG707" s="79"/>
      <c r="AH707" s="79"/>
      <c r="DT707" s="99">
        <f t="shared" si="12"/>
        <v>0</v>
      </c>
    </row>
    <row r="708" spans="1:124" ht="80.25" hidden="1" customHeight="1" x14ac:dyDescent="0.3">
      <c r="A708" s="163" t="s">
        <v>479</v>
      </c>
      <c r="B708" s="13">
        <v>936</v>
      </c>
      <c r="C708" s="14" t="s">
        <v>121</v>
      </c>
      <c r="D708" s="6" t="s">
        <v>130</v>
      </c>
      <c r="E708" s="14" t="s">
        <v>480</v>
      </c>
      <c r="F708" s="14" t="s">
        <v>50</v>
      </c>
      <c r="G708" s="57">
        <f>G709</f>
        <v>0</v>
      </c>
      <c r="H708" s="116"/>
      <c r="I708" s="117"/>
      <c r="J708" s="116"/>
      <c r="K708" s="80"/>
      <c r="L708" s="79"/>
      <c r="M708" s="79"/>
      <c r="AG708" s="79"/>
      <c r="AH708" s="79"/>
      <c r="DT708" s="99">
        <f t="shared" si="12"/>
        <v>0</v>
      </c>
    </row>
    <row r="709" spans="1:124" hidden="1" x14ac:dyDescent="0.3">
      <c r="A709" s="143" t="s">
        <v>60</v>
      </c>
      <c r="B709" s="13">
        <v>936</v>
      </c>
      <c r="C709" s="14" t="s">
        <v>121</v>
      </c>
      <c r="D709" s="6" t="s">
        <v>130</v>
      </c>
      <c r="E709" s="14" t="s">
        <v>480</v>
      </c>
      <c r="F709" s="44" t="s">
        <v>61</v>
      </c>
      <c r="G709" s="57">
        <v>0</v>
      </c>
      <c r="H709" s="116"/>
      <c r="I709" s="117"/>
      <c r="J709" s="116"/>
      <c r="K709" s="80"/>
      <c r="L709" s="79"/>
      <c r="M709" s="79"/>
      <c r="AG709" s="79"/>
      <c r="AH709" s="79"/>
      <c r="DT709" s="99">
        <f t="shared" si="12"/>
        <v>0</v>
      </c>
    </row>
    <row r="710" spans="1:124" ht="93.75" hidden="1" x14ac:dyDescent="0.3">
      <c r="A710" s="143" t="s">
        <v>481</v>
      </c>
      <c r="B710" s="13">
        <v>936</v>
      </c>
      <c r="C710" s="14" t="s">
        <v>121</v>
      </c>
      <c r="D710" s="6" t="s">
        <v>130</v>
      </c>
      <c r="E710" s="14" t="s">
        <v>482</v>
      </c>
      <c r="F710" s="14" t="s">
        <v>50</v>
      </c>
      <c r="G710" s="57">
        <f>G711</f>
        <v>0</v>
      </c>
      <c r="H710" s="116"/>
      <c r="I710" s="117"/>
      <c r="J710" s="116"/>
      <c r="K710" s="80"/>
      <c r="L710" s="79"/>
      <c r="M710" s="79"/>
      <c r="AG710" s="79"/>
      <c r="AH710" s="79"/>
      <c r="DT710" s="99">
        <f t="shared" si="12"/>
        <v>0</v>
      </c>
    </row>
    <row r="711" spans="1:124" hidden="1" x14ac:dyDescent="0.3">
      <c r="A711" s="143" t="s">
        <v>60</v>
      </c>
      <c r="B711" s="13">
        <v>936</v>
      </c>
      <c r="C711" s="14" t="s">
        <v>121</v>
      </c>
      <c r="D711" s="6" t="s">
        <v>130</v>
      </c>
      <c r="E711" s="14" t="s">
        <v>482</v>
      </c>
      <c r="F711" s="44" t="s">
        <v>61</v>
      </c>
      <c r="G711" s="57">
        <v>0</v>
      </c>
      <c r="H711" s="116"/>
      <c r="I711" s="117"/>
      <c r="J711" s="116"/>
      <c r="K711" s="80"/>
      <c r="L711" s="79"/>
      <c r="M711" s="79"/>
      <c r="AG711" s="79"/>
      <c r="AH711" s="79"/>
      <c r="DT711" s="99">
        <f t="shared" si="12"/>
        <v>0</v>
      </c>
    </row>
    <row r="712" spans="1:124" ht="49.5" customHeight="1" x14ac:dyDescent="0.3">
      <c r="A712" s="156" t="s">
        <v>161</v>
      </c>
      <c r="B712" s="13">
        <v>936</v>
      </c>
      <c r="C712" s="14" t="s">
        <v>121</v>
      </c>
      <c r="D712" s="14" t="s">
        <v>130</v>
      </c>
      <c r="E712" s="15" t="s">
        <v>99</v>
      </c>
      <c r="F712" s="14" t="s">
        <v>50</v>
      </c>
      <c r="G712" s="57">
        <f>G713</f>
        <v>100.2</v>
      </c>
      <c r="H712" s="116"/>
      <c r="I712" s="117"/>
      <c r="J712" s="116"/>
      <c r="K712" s="80"/>
      <c r="L712" s="79"/>
      <c r="M712" s="79"/>
      <c r="AG712" s="79"/>
      <c r="AH712" s="79"/>
      <c r="DT712" s="99">
        <f t="shared" si="12"/>
        <v>0</v>
      </c>
    </row>
    <row r="713" spans="1:124" x14ac:dyDescent="0.3">
      <c r="A713" s="143" t="s">
        <v>409</v>
      </c>
      <c r="B713" s="13">
        <v>936</v>
      </c>
      <c r="C713" s="14" t="s">
        <v>121</v>
      </c>
      <c r="D713" s="14" t="s">
        <v>130</v>
      </c>
      <c r="E713" s="15" t="s">
        <v>421</v>
      </c>
      <c r="F713" s="14" t="s">
        <v>50</v>
      </c>
      <c r="G713" s="57">
        <f>G714</f>
        <v>100.2</v>
      </c>
      <c r="H713" s="116"/>
      <c r="I713" s="117"/>
      <c r="J713" s="116"/>
      <c r="K713" s="80"/>
      <c r="L713" s="79"/>
      <c r="M713" s="79"/>
      <c r="AG713" s="79"/>
      <c r="AH713" s="79"/>
      <c r="DT713" s="99">
        <f t="shared" si="12"/>
        <v>0</v>
      </c>
    </row>
    <row r="714" spans="1:124" ht="44.25" customHeight="1" x14ac:dyDescent="0.3">
      <c r="A714" s="176" t="s">
        <v>391</v>
      </c>
      <c r="B714" s="13">
        <v>936</v>
      </c>
      <c r="C714" s="14" t="s">
        <v>121</v>
      </c>
      <c r="D714" s="14" t="s">
        <v>130</v>
      </c>
      <c r="E714" s="14" t="s">
        <v>589</v>
      </c>
      <c r="F714" s="14" t="s">
        <v>50</v>
      </c>
      <c r="G714" s="57">
        <f>G715+G721</f>
        <v>100.2</v>
      </c>
      <c r="H714" s="116"/>
      <c r="I714" s="117"/>
      <c r="J714" s="116"/>
      <c r="K714" s="80"/>
      <c r="L714" s="79"/>
      <c r="M714" s="79"/>
      <c r="AG714" s="79"/>
      <c r="AH714" s="79"/>
      <c r="DT714" s="99">
        <f t="shared" ref="DT714:DT777" si="13">DN714+DO714+DP714+DQ714+DR714+DS714</f>
        <v>0</v>
      </c>
    </row>
    <row r="715" spans="1:124" ht="37.5" x14ac:dyDescent="0.3">
      <c r="A715" s="143" t="s">
        <v>425</v>
      </c>
      <c r="B715" s="13">
        <v>936</v>
      </c>
      <c r="C715" s="14" t="s">
        <v>121</v>
      </c>
      <c r="D715" s="14" t="s">
        <v>130</v>
      </c>
      <c r="E715" s="14" t="s">
        <v>589</v>
      </c>
      <c r="F715" s="14" t="s">
        <v>59</v>
      </c>
      <c r="G715" s="57">
        <f>DT715</f>
        <v>100.2</v>
      </c>
      <c r="H715" s="116">
        <v>100</v>
      </c>
      <c r="I715" s="117"/>
      <c r="J715" s="116"/>
      <c r="K715" s="80"/>
      <c r="L715" s="79"/>
      <c r="M715" s="79">
        <v>100</v>
      </c>
      <c r="AG715" s="79"/>
      <c r="AH715" s="79"/>
      <c r="AK715" s="79">
        <v>100</v>
      </c>
      <c r="BN715" s="237">
        <v>100</v>
      </c>
      <c r="CG715" s="194">
        <v>205</v>
      </c>
      <c r="CJ715" s="194">
        <v>-205</v>
      </c>
      <c r="CR715" s="99">
        <v>100</v>
      </c>
      <c r="CU715" s="258">
        <v>600</v>
      </c>
      <c r="DJ715" s="194">
        <v>0.2</v>
      </c>
      <c r="DS715" s="99">
        <v>100.2</v>
      </c>
      <c r="DT715" s="99">
        <f t="shared" si="13"/>
        <v>100.2</v>
      </c>
    </row>
    <row r="716" spans="1:124" ht="56.25" hidden="1" x14ac:dyDescent="0.3">
      <c r="A716" s="208" t="s">
        <v>16</v>
      </c>
      <c r="B716" s="13">
        <v>936</v>
      </c>
      <c r="C716" s="14" t="s">
        <v>121</v>
      </c>
      <c r="D716" s="6" t="s">
        <v>130</v>
      </c>
      <c r="E716" s="15" t="s">
        <v>32</v>
      </c>
      <c r="F716" s="15" t="s">
        <v>50</v>
      </c>
      <c r="G716" s="57">
        <f>G717</f>
        <v>0</v>
      </c>
      <c r="H716" s="116"/>
      <c r="I716" s="117"/>
      <c r="J716" s="116"/>
      <c r="K716" s="80"/>
      <c r="L716" s="79"/>
      <c r="M716" s="79"/>
      <c r="AG716" s="79"/>
      <c r="AH716" s="79"/>
      <c r="DT716" s="99">
        <f t="shared" si="13"/>
        <v>0</v>
      </c>
    </row>
    <row r="717" spans="1:124" hidden="1" x14ac:dyDescent="0.3">
      <c r="A717" s="163" t="s">
        <v>409</v>
      </c>
      <c r="B717" s="13">
        <v>936</v>
      </c>
      <c r="C717" s="14" t="s">
        <v>121</v>
      </c>
      <c r="D717" s="6" t="s">
        <v>130</v>
      </c>
      <c r="E717" s="14" t="s">
        <v>44</v>
      </c>
      <c r="F717" s="14" t="s">
        <v>50</v>
      </c>
      <c r="G717" s="57">
        <f>G718</f>
        <v>0</v>
      </c>
      <c r="H717" s="116"/>
      <c r="I717" s="117"/>
      <c r="J717" s="116"/>
      <c r="K717" s="80"/>
      <c r="L717" s="79"/>
      <c r="M717" s="79"/>
      <c r="AG717" s="79"/>
      <c r="AH717" s="79"/>
      <c r="DT717" s="99">
        <f t="shared" si="13"/>
        <v>0</v>
      </c>
    </row>
    <row r="718" spans="1:124" hidden="1" x14ac:dyDescent="0.3">
      <c r="A718" s="143" t="s">
        <v>62</v>
      </c>
      <c r="B718" s="13">
        <v>936</v>
      </c>
      <c r="C718" s="14" t="s">
        <v>121</v>
      </c>
      <c r="D718" s="6" t="s">
        <v>130</v>
      </c>
      <c r="E718" s="14" t="s">
        <v>390</v>
      </c>
      <c r="F718" s="14" t="s">
        <v>50</v>
      </c>
      <c r="G718" s="57">
        <f>G719</f>
        <v>0</v>
      </c>
      <c r="H718" s="116"/>
      <c r="I718" s="117"/>
      <c r="J718" s="116"/>
      <c r="K718" s="80"/>
      <c r="L718" s="79"/>
      <c r="M718" s="79"/>
      <c r="AG718" s="79"/>
      <c r="AH718" s="79"/>
      <c r="DT718" s="99">
        <f t="shared" si="13"/>
        <v>0</v>
      </c>
    </row>
    <row r="719" spans="1:124" ht="37.5" hidden="1" x14ac:dyDescent="0.3">
      <c r="A719" s="176" t="s">
        <v>391</v>
      </c>
      <c r="B719" s="13">
        <v>936</v>
      </c>
      <c r="C719" s="14" t="s">
        <v>121</v>
      </c>
      <c r="D719" s="6" t="s">
        <v>130</v>
      </c>
      <c r="E719" s="14" t="s">
        <v>392</v>
      </c>
      <c r="F719" s="14" t="s">
        <v>50</v>
      </c>
      <c r="G719" s="57">
        <f>G720</f>
        <v>0</v>
      </c>
      <c r="H719" s="116"/>
      <c r="I719" s="117"/>
      <c r="J719" s="116"/>
      <c r="K719" s="80"/>
      <c r="L719" s="79"/>
      <c r="M719" s="79"/>
      <c r="AG719" s="79"/>
      <c r="AH719" s="79"/>
      <c r="DT719" s="99">
        <f t="shared" si="13"/>
        <v>0</v>
      </c>
    </row>
    <row r="720" spans="1:124" ht="37.5" hidden="1" x14ac:dyDescent="0.3">
      <c r="A720" s="143" t="s">
        <v>425</v>
      </c>
      <c r="B720" s="13">
        <v>936</v>
      </c>
      <c r="C720" s="14" t="s">
        <v>121</v>
      </c>
      <c r="D720" s="6" t="s">
        <v>130</v>
      </c>
      <c r="E720" s="14" t="s">
        <v>392</v>
      </c>
      <c r="F720" s="14" t="s">
        <v>59</v>
      </c>
      <c r="G720" s="57">
        <v>0</v>
      </c>
      <c r="H720" s="116"/>
      <c r="I720" s="117"/>
      <c r="J720" s="116"/>
      <c r="K720" s="80"/>
      <c r="L720" s="79"/>
      <c r="M720" s="79">
        <v>-100</v>
      </c>
      <c r="AG720" s="79"/>
      <c r="AH720" s="79"/>
      <c r="DT720" s="99">
        <f t="shared" si="13"/>
        <v>0</v>
      </c>
    </row>
    <row r="721" spans="1:125" hidden="1" x14ac:dyDescent="0.3">
      <c r="A721" s="163" t="s">
        <v>60</v>
      </c>
      <c r="B721" s="13">
        <v>936</v>
      </c>
      <c r="C721" s="14" t="s">
        <v>121</v>
      </c>
      <c r="D721" s="14" t="s">
        <v>130</v>
      </c>
      <c r="E721" s="14" t="s">
        <v>589</v>
      </c>
      <c r="F721" s="14" t="s">
        <v>61</v>
      </c>
      <c r="G721" s="57">
        <v>0</v>
      </c>
      <c r="H721" s="116"/>
      <c r="I721" s="117"/>
      <c r="J721" s="116"/>
      <c r="K721" s="80"/>
      <c r="L721" s="79"/>
      <c r="M721" s="79"/>
      <c r="AG721" s="79"/>
      <c r="AH721" s="79"/>
      <c r="CJ721" s="194">
        <f>205+470</f>
        <v>675</v>
      </c>
      <c r="DT721" s="99">
        <f t="shared" si="13"/>
        <v>0</v>
      </c>
    </row>
    <row r="722" spans="1:125" x14ac:dyDescent="0.3">
      <c r="A722" s="155" t="s">
        <v>247</v>
      </c>
      <c r="B722" s="12">
        <v>936</v>
      </c>
      <c r="C722" s="9" t="s">
        <v>121</v>
      </c>
      <c r="D722" s="9" t="s">
        <v>128</v>
      </c>
      <c r="E722" s="12" t="s">
        <v>49</v>
      </c>
      <c r="F722" s="19" t="s">
        <v>50</v>
      </c>
      <c r="G722" s="68">
        <f>G723+G782+G857</f>
        <v>74407</v>
      </c>
      <c r="H722" s="116"/>
      <c r="I722" s="117"/>
      <c r="J722" s="116"/>
      <c r="K722" s="80"/>
      <c r="L722" s="79"/>
      <c r="M722" s="79"/>
      <c r="AG722" s="79"/>
      <c r="AH722" s="79"/>
      <c r="DT722" s="99">
        <f t="shared" si="13"/>
        <v>0</v>
      </c>
    </row>
    <row r="723" spans="1:125" ht="39.75" customHeight="1" x14ac:dyDescent="0.3">
      <c r="A723" s="156" t="s">
        <v>161</v>
      </c>
      <c r="B723" s="13">
        <v>936</v>
      </c>
      <c r="C723" s="14" t="s">
        <v>121</v>
      </c>
      <c r="D723" s="14" t="s">
        <v>128</v>
      </c>
      <c r="E723" s="15" t="s">
        <v>99</v>
      </c>
      <c r="F723" s="14" t="s">
        <v>50</v>
      </c>
      <c r="G723" s="57">
        <f>G724+G776+G767+G792+G755</f>
        <v>74407</v>
      </c>
      <c r="H723" s="116"/>
      <c r="I723" s="117"/>
      <c r="J723" s="116"/>
      <c r="K723" s="80"/>
      <c r="L723" s="79"/>
      <c r="M723" s="79"/>
      <c r="AG723" s="79"/>
      <c r="AH723" s="79"/>
      <c r="DT723" s="99">
        <f t="shared" si="13"/>
        <v>0</v>
      </c>
    </row>
    <row r="724" spans="1:125" ht="42" customHeight="1" x14ac:dyDescent="0.3">
      <c r="A724" s="156" t="s">
        <v>8</v>
      </c>
      <c r="B724" s="13">
        <v>936</v>
      </c>
      <c r="C724" s="14" t="s">
        <v>121</v>
      </c>
      <c r="D724" s="14" t="s">
        <v>128</v>
      </c>
      <c r="E724" s="15" t="s">
        <v>100</v>
      </c>
      <c r="F724" s="14" t="s">
        <v>50</v>
      </c>
      <c r="G724" s="57">
        <f>G725+G734+G757+G737+G760+G749+G751+G753+G739+G741+G743+G745</f>
        <v>74407</v>
      </c>
      <c r="H724" s="116"/>
      <c r="I724" s="117"/>
      <c r="J724" s="116"/>
      <c r="K724" s="80"/>
      <c r="L724" s="79"/>
      <c r="M724" s="79"/>
      <c r="AG724" s="79"/>
      <c r="AH724" s="79"/>
      <c r="DT724" s="99">
        <f t="shared" si="13"/>
        <v>0</v>
      </c>
    </row>
    <row r="725" spans="1:125" x14ac:dyDescent="0.3">
      <c r="A725" s="143" t="s">
        <v>248</v>
      </c>
      <c r="B725" s="13">
        <v>936</v>
      </c>
      <c r="C725" s="14" t="s">
        <v>121</v>
      </c>
      <c r="D725" s="14" t="s">
        <v>128</v>
      </c>
      <c r="E725" s="14" t="s">
        <v>938</v>
      </c>
      <c r="F725" s="14" t="s">
        <v>50</v>
      </c>
      <c r="G725" s="57">
        <f>G726+G728+G730+G732</f>
        <v>15275</v>
      </c>
      <c r="H725" s="116"/>
      <c r="I725" s="117"/>
      <c r="J725" s="116"/>
      <c r="K725" s="80"/>
      <c r="L725" s="79"/>
      <c r="M725" s="79"/>
      <c r="AG725" s="79"/>
      <c r="AH725" s="79"/>
      <c r="DT725" s="99">
        <f t="shared" si="13"/>
        <v>0</v>
      </c>
    </row>
    <row r="726" spans="1:125" ht="37.5" x14ac:dyDescent="0.3">
      <c r="A726" s="143" t="s">
        <v>942</v>
      </c>
      <c r="B726" s="13">
        <v>936</v>
      </c>
      <c r="C726" s="14" t="s">
        <v>121</v>
      </c>
      <c r="D726" s="14" t="s">
        <v>128</v>
      </c>
      <c r="E726" s="14" t="s">
        <v>939</v>
      </c>
      <c r="F726" s="14" t="s">
        <v>50</v>
      </c>
      <c r="G726" s="57">
        <f>G727</f>
        <v>15000</v>
      </c>
      <c r="H726" s="116"/>
      <c r="I726" s="117"/>
      <c r="J726" s="116"/>
      <c r="K726" s="80"/>
      <c r="L726" s="79"/>
      <c r="M726" s="79"/>
      <c r="AG726" s="79"/>
      <c r="AH726" s="79"/>
      <c r="DT726" s="99">
        <f t="shared" si="13"/>
        <v>0</v>
      </c>
    </row>
    <row r="727" spans="1:125" ht="37.5" x14ac:dyDescent="0.3">
      <c r="A727" s="143" t="s">
        <v>425</v>
      </c>
      <c r="B727" s="13">
        <v>936</v>
      </c>
      <c r="C727" s="14" t="s">
        <v>121</v>
      </c>
      <c r="D727" s="14" t="s">
        <v>128</v>
      </c>
      <c r="E727" s="14" t="s">
        <v>939</v>
      </c>
      <c r="F727" s="14" t="s">
        <v>59</v>
      </c>
      <c r="G727" s="72">
        <f>DT727</f>
        <v>15000</v>
      </c>
      <c r="H727" s="116">
        <f>10000+500</f>
        <v>10500</v>
      </c>
      <c r="I727" s="117"/>
      <c r="J727" s="116"/>
      <c r="K727" s="80"/>
      <c r="L727" s="79"/>
      <c r="M727" s="79">
        <v>141</v>
      </c>
      <c r="T727">
        <f>70+150+10200</f>
        <v>10420</v>
      </c>
      <c r="U727">
        <v>32.700000000000003</v>
      </c>
      <c r="AC727">
        <v>700</v>
      </c>
      <c r="AG727" s="79"/>
      <c r="AH727" s="79"/>
      <c r="AK727" s="79">
        <v>14920</v>
      </c>
      <c r="AS727" s="194">
        <f>17700+200</f>
        <v>17900</v>
      </c>
      <c r="AX727" s="101">
        <v>500</v>
      </c>
      <c r="BH727" s="233">
        <v>159.1</v>
      </c>
      <c r="BJ727" s="194">
        <v>5</v>
      </c>
      <c r="BN727" s="237">
        <f>5800+250+1860</f>
        <v>7910</v>
      </c>
      <c r="BU727" s="151">
        <f>110</f>
        <v>110</v>
      </c>
      <c r="CD727" s="226">
        <v>643.20000000000005</v>
      </c>
      <c r="CF727" s="194">
        <v>300</v>
      </c>
      <c r="CH727" s="258">
        <v>550</v>
      </c>
      <c r="CJ727" s="194">
        <v>425</v>
      </c>
      <c r="CR727" s="99">
        <f>17000+599</f>
        <v>17599</v>
      </c>
      <c r="CU727" s="258">
        <v>1784</v>
      </c>
      <c r="CV727" s="268">
        <f>1500+2614</f>
        <v>4114</v>
      </c>
      <c r="CY727" s="194">
        <v>246.6</v>
      </c>
      <c r="CZ727" s="194">
        <v>11000</v>
      </c>
      <c r="DH727" s="194">
        <v>2740</v>
      </c>
      <c r="DS727" s="99">
        <v>15000</v>
      </c>
      <c r="DT727" s="99">
        <f t="shared" si="13"/>
        <v>15000</v>
      </c>
    </row>
    <row r="728" spans="1:125" ht="37.5" x14ac:dyDescent="0.3">
      <c r="A728" s="143" t="s">
        <v>64</v>
      </c>
      <c r="B728" s="13">
        <v>936</v>
      </c>
      <c r="C728" s="14" t="s">
        <v>121</v>
      </c>
      <c r="D728" s="14" t="s">
        <v>128</v>
      </c>
      <c r="E728" s="14" t="s">
        <v>785</v>
      </c>
      <c r="F728" s="14" t="s">
        <v>50</v>
      </c>
      <c r="G728" s="72">
        <f>G729</f>
        <v>0</v>
      </c>
      <c r="H728" s="116"/>
      <c r="I728" s="117"/>
      <c r="J728" s="116"/>
      <c r="K728" s="80"/>
      <c r="L728" s="79"/>
      <c r="M728" s="79"/>
      <c r="AG728" s="79"/>
      <c r="AH728" s="79"/>
      <c r="DT728" s="99">
        <f t="shared" si="13"/>
        <v>0</v>
      </c>
    </row>
    <row r="729" spans="1:125" ht="37.5" x14ac:dyDescent="0.3">
      <c r="A729" s="143" t="s">
        <v>425</v>
      </c>
      <c r="B729" s="13">
        <v>936</v>
      </c>
      <c r="C729" s="14" t="s">
        <v>121</v>
      </c>
      <c r="D729" s="14" t="s">
        <v>128</v>
      </c>
      <c r="E729" s="14" t="s">
        <v>785</v>
      </c>
      <c r="F729" s="14" t="s">
        <v>59</v>
      </c>
      <c r="G729" s="72">
        <v>0</v>
      </c>
      <c r="H729" s="116"/>
      <c r="I729" s="117"/>
      <c r="J729" s="116"/>
      <c r="K729" s="80"/>
      <c r="L729" s="79"/>
      <c r="M729" s="79"/>
      <c r="AG729" s="79"/>
      <c r="AH729" s="79"/>
      <c r="BD729" s="226">
        <v>79</v>
      </c>
      <c r="CV729" s="268">
        <v>21.8</v>
      </c>
      <c r="CY729" s="194">
        <v>88.5</v>
      </c>
      <c r="DT729" s="99">
        <f t="shared" si="13"/>
        <v>0</v>
      </c>
    </row>
    <row r="730" spans="1:125" ht="37.5" x14ac:dyDescent="0.3">
      <c r="A730" s="143" t="s">
        <v>943</v>
      </c>
      <c r="B730" s="13">
        <v>936</v>
      </c>
      <c r="C730" s="14" t="s">
        <v>121</v>
      </c>
      <c r="D730" s="14" t="s">
        <v>128</v>
      </c>
      <c r="E730" s="14" t="s">
        <v>941</v>
      </c>
      <c r="F730" s="14" t="s">
        <v>50</v>
      </c>
      <c r="G730" s="72">
        <f>G731</f>
        <v>275</v>
      </c>
      <c r="H730" s="116"/>
      <c r="I730" s="117"/>
      <c r="J730" s="116"/>
      <c r="K730" s="80"/>
      <c r="L730" s="79"/>
      <c r="M730" s="79"/>
      <c r="AG730" s="79"/>
      <c r="AH730" s="79"/>
      <c r="DT730" s="99">
        <f t="shared" si="13"/>
        <v>0</v>
      </c>
    </row>
    <row r="731" spans="1:125" ht="37.5" x14ac:dyDescent="0.3">
      <c r="A731" s="143" t="s">
        <v>425</v>
      </c>
      <c r="B731" s="13">
        <v>936</v>
      </c>
      <c r="C731" s="14" t="s">
        <v>121</v>
      </c>
      <c r="D731" s="14" t="s">
        <v>128</v>
      </c>
      <c r="E731" s="14" t="s">
        <v>941</v>
      </c>
      <c r="F731" s="14" t="s">
        <v>59</v>
      </c>
      <c r="G731" s="72">
        <f>DT731</f>
        <v>275</v>
      </c>
      <c r="H731" s="116"/>
      <c r="I731" s="117"/>
      <c r="J731" s="116"/>
      <c r="K731" s="80"/>
      <c r="L731" s="79"/>
      <c r="M731" s="79"/>
      <c r="AG731" s="79"/>
      <c r="AH731" s="79"/>
      <c r="CR731" s="99">
        <v>275</v>
      </c>
      <c r="CZ731" s="194">
        <f>200+500</f>
        <v>700</v>
      </c>
      <c r="DS731" s="99">
        <v>275</v>
      </c>
      <c r="DT731" s="99">
        <f t="shared" si="13"/>
        <v>275</v>
      </c>
    </row>
    <row r="732" spans="1:125" ht="37.5" hidden="1" x14ac:dyDescent="0.3">
      <c r="A732" s="143" t="s">
        <v>944</v>
      </c>
      <c r="B732" s="13">
        <v>936</v>
      </c>
      <c r="C732" s="14" t="s">
        <v>121</v>
      </c>
      <c r="D732" s="14" t="s">
        <v>128</v>
      </c>
      <c r="E732" s="14" t="s">
        <v>940</v>
      </c>
      <c r="F732" s="14" t="s">
        <v>50</v>
      </c>
      <c r="G732" s="72">
        <f>G733</f>
        <v>0</v>
      </c>
      <c r="H732" s="116"/>
      <c r="I732" s="117"/>
      <c r="J732" s="116"/>
      <c r="K732" s="80"/>
      <c r="L732" s="79"/>
      <c r="M732" s="79"/>
      <c r="AG732" s="79"/>
      <c r="AH732" s="79"/>
      <c r="DT732" s="99">
        <f t="shared" si="13"/>
        <v>0</v>
      </c>
    </row>
    <row r="733" spans="1:125" ht="37.5" hidden="1" x14ac:dyDescent="0.3">
      <c r="A733" s="143" t="s">
        <v>425</v>
      </c>
      <c r="B733" s="13">
        <v>936</v>
      </c>
      <c r="C733" s="14" t="s">
        <v>121</v>
      </c>
      <c r="D733" s="14" t="s">
        <v>128</v>
      </c>
      <c r="E733" s="14" t="s">
        <v>940</v>
      </c>
      <c r="F733" s="14" t="s">
        <v>59</v>
      </c>
      <c r="G733" s="72">
        <v>0</v>
      </c>
      <c r="H733" s="116"/>
      <c r="I733" s="117"/>
      <c r="J733" s="116"/>
      <c r="K733" s="80"/>
      <c r="L733" s="79"/>
      <c r="M733" s="79"/>
      <c r="AG733" s="79"/>
      <c r="AH733" s="79"/>
      <c r="CR733" s="99">
        <f>100+1500+100</f>
        <v>1700</v>
      </c>
      <c r="CV733" s="268">
        <v>-1500</v>
      </c>
      <c r="DF733" s="194">
        <v>561</v>
      </c>
      <c r="DT733" s="99">
        <f t="shared" si="13"/>
        <v>0</v>
      </c>
    </row>
    <row r="734" spans="1:125" ht="75" x14ac:dyDescent="0.3">
      <c r="A734" s="143" t="s">
        <v>249</v>
      </c>
      <c r="B734" s="144">
        <v>936</v>
      </c>
      <c r="C734" s="111" t="s">
        <v>121</v>
      </c>
      <c r="D734" s="111" t="s">
        <v>128</v>
      </c>
      <c r="E734" s="111" t="s">
        <v>855</v>
      </c>
      <c r="F734" s="14" t="s">
        <v>50</v>
      </c>
      <c r="G734" s="57">
        <f>G735</f>
        <v>2506</v>
      </c>
      <c r="H734" s="116"/>
      <c r="I734" s="117"/>
      <c r="J734" s="116"/>
      <c r="K734" s="80"/>
      <c r="L734" s="79"/>
      <c r="M734" s="79"/>
      <c r="AG734" s="79"/>
      <c r="AH734" s="79"/>
      <c r="DT734" s="99">
        <f t="shared" si="13"/>
        <v>0</v>
      </c>
    </row>
    <row r="735" spans="1:125" ht="56.25" x14ac:dyDescent="0.3">
      <c r="A735" s="143" t="s">
        <v>250</v>
      </c>
      <c r="B735" s="144">
        <v>936</v>
      </c>
      <c r="C735" s="111" t="s">
        <v>121</v>
      </c>
      <c r="D735" s="111" t="s">
        <v>128</v>
      </c>
      <c r="E735" s="266" t="s">
        <v>1190</v>
      </c>
      <c r="F735" s="14" t="s">
        <v>50</v>
      </c>
      <c r="G735" s="57">
        <f>G736</f>
        <v>2506</v>
      </c>
      <c r="H735" s="116"/>
      <c r="I735" s="117"/>
      <c r="J735" s="116"/>
      <c r="K735" s="80"/>
      <c r="L735" s="79"/>
      <c r="M735" s="79"/>
      <c r="AG735" s="79"/>
      <c r="AH735" s="79"/>
      <c r="DT735" s="99">
        <f t="shared" si="13"/>
        <v>0</v>
      </c>
    </row>
    <row r="736" spans="1:125" ht="37.5" x14ac:dyDescent="0.3">
      <c r="A736" s="143" t="s">
        <v>425</v>
      </c>
      <c r="B736" s="144">
        <v>936</v>
      </c>
      <c r="C736" s="111" t="s">
        <v>121</v>
      </c>
      <c r="D736" s="111" t="s">
        <v>128</v>
      </c>
      <c r="E736" s="266" t="s">
        <v>1190</v>
      </c>
      <c r="F736" s="14" t="s">
        <v>59</v>
      </c>
      <c r="G736" s="57">
        <f>DT736+DU736</f>
        <v>2506</v>
      </c>
      <c r="H736" s="116"/>
      <c r="I736" s="117">
        <v>2521</v>
      </c>
      <c r="J736" s="116"/>
      <c r="K736" s="80"/>
      <c r="L736" s="79"/>
      <c r="M736" s="79"/>
      <c r="O736">
        <v>31.9</v>
      </c>
      <c r="AG736" s="79">
        <v>-1.6</v>
      </c>
      <c r="AH736" s="79"/>
      <c r="AK736" s="79">
        <v>1998</v>
      </c>
      <c r="AP736" s="151">
        <v>116.6</v>
      </c>
      <c r="BO736" s="238">
        <v>29804</v>
      </c>
      <c r="CQ736" s="99">
        <v>2323</v>
      </c>
      <c r="CT736" s="258">
        <v>-34</v>
      </c>
      <c r="DN736" s="274">
        <v>2289</v>
      </c>
      <c r="DT736" s="99">
        <f t="shared" si="13"/>
        <v>2289</v>
      </c>
      <c r="DU736" s="270">
        <v>217</v>
      </c>
    </row>
    <row r="737" spans="1:124" ht="56.25" x14ac:dyDescent="0.3">
      <c r="A737" s="143" t="s">
        <v>250</v>
      </c>
      <c r="B737" s="144">
        <v>936</v>
      </c>
      <c r="C737" s="111" t="s">
        <v>121</v>
      </c>
      <c r="D737" s="111" t="s">
        <v>128</v>
      </c>
      <c r="E737" s="266" t="s">
        <v>1191</v>
      </c>
      <c r="F737" s="14" t="s">
        <v>50</v>
      </c>
      <c r="G737" s="57">
        <f>G738</f>
        <v>24</v>
      </c>
      <c r="H737" s="116"/>
      <c r="I737" s="117"/>
      <c r="J737" s="116"/>
      <c r="K737" s="80"/>
      <c r="L737" s="79"/>
      <c r="M737" s="79"/>
      <c r="AG737" s="79"/>
      <c r="AH737" s="79"/>
      <c r="DT737" s="99">
        <f t="shared" si="13"/>
        <v>0</v>
      </c>
    </row>
    <row r="738" spans="1:124" ht="37.5" x14ac:dyDescent="0.3">
      <c r="A738" s="143" t="s">
        <v>425</v>
      </c>
      <c r="B738" s="144">
        <v>936</v>
      </c>
      <c r="C738" s="111" t="s">
        <v>121</v>
      </c>
      <c r="D738" s="111" t="s">
        <v>128</v>
      </c>
      <c r="E738" s="266" t="s">
        <v>1191</v>
      </c>
      <c r="F738" s="14" t="s">
        <v>59</v>
      </c>
      <c r="G738" s="72">
        <f>DT738</f>
        <v>24</v>
      </c>
      <c r="H738" s="116"/>
      <c r="I738" s="117"/>
      <c r="J738" s="116">
        <v>133</v>
      </c>
      <c r="K738" s="80"/>
      <c r="L738" s="79"/>
      <c r="M738" s="79"/>
      <c r="AG738" s="79"/>
      <c r="AH738" s="79"/>
      <c r="AK738" s="79">
        <v>105</v>
      </c>
      <c r="AQ738" s="151">
        <v>7</v>
      </c>
      <c r="BP738" s="239">
        <v>301.10000000000002</v>
      </c>
      <c r="BU738" s="151">
        <v>113</v>
      </c>
      <c r="CQ738" s="99">
        <v>24</v>
      </c>
      <c r="DN738" s="274">
        <v>24</v>
      </c>
      <c r="DT738" s="99">
        <f t="shared" si="13"/>
        <v>24</v>
      </c>
    </row>
    <row r="739" spans="1:124" ht="56.25" hidden="1" x14ac:dyDescent="0.3">
      <c r="A739" s="232" t="s">
        <v>957</v>
      </c>
      <c r="B739" s="144">
        <v>936</v>
      </c>
      <c r="C739" s="111" t="s">
        <v>121</v>
      </c>
      <c r="D739" s="111" t="s">
        <v>128</v>
      </c>
      <c r="E739" s="266" t="s">
        <v>955</v>
      </c>
      <c r="F739" s="14" t="s">
        <v>50</v>
      </c>
      <c r="G739" s="72">
        <f>G740</f>
        <v>0</v>
      </c>
      <c r="H739" s="116"/>
      <c r="I739" s="117"/>
      <c r="J739" s="116"/>
      <c r="K739" s="80"/>
      <c r="L739" s="79"/>
      <c r="M739" s="79"/>
      <c r="AG739" s="79"/>
      <c r="AH739" s="79"/>
      <c r="DT739" s="99">
        <f t="shared" si="13"/>
        <v>0</v>
      </c>
    </row>
    <row r="740" spans="1:124" ht="37.5" hidden="1" x14ac:dyDescent="0.3">
      <c r="A740" s="143" t="s">
        <v>425</v>
      </c>
      <c r="B740" s="144">
        <v>936</v>
      </c>
      <c r="C740" s="111" t="s">
        <v>121</v>
      </c>
      <c r="D740" s="111" t="s">
        <v>128</v>
      </c>
      <c r="E740" s="266" t="s">
        <v>955</v>
      </c>
      <c r="F740" s="14" t="s">
        <v>59</v>
      </c>
      <c r="G740" s="72">
        <v>0</v>
      </c>
      <c r="H740" s="116"/>
      <c r="I740" s="117"/>
      <c r="J740" s="116"/>
      <c r="K740" s="80"/>
      <c r="L740" s="79"/>
      <c r="M740" s="79"/>
      <c r="AG740" s="79"/>
      <c r="AH740" s="79"/>
      <c r="DT740" s="99">
        <f t="shared" si="13"/>
        <v>0</v>
      </c>
    </row>
    <row r="741" spans="1:124" ht="56.25" hidden="1" x14ac:dyDescent="0.3">
      <c r="A741" s="232" t="s">
        <v>957</v>
      </c>
      <c r="B741" s="144">
        <v>936</v>
      </c>
      <c r="C741" s="111" t="s">
        <v>121</v>
      </c>
      <c r="D741" s="111" t="s">
        <v>128</v>
      </c>
      <c r="E741" s="266" t="s">
        <v>956</v>
      </c>
      <c r="F741" s="14" t="s">
        <v>50</v>
      </c>
      <c r="G741" s="72">
        <f>G742</f>
        <v>0</v>
      </c>
      <c r="H741" s="116"/>
      <c r="I741" s="117"/>
      <c r="J741" s="116"/>
      <c r="K741" s="80"/>
      <c r="L741" s="79"/>
      <c r="M741" s="79"/>
      <c r="AG741" s="79"/>
      <c r="AH741" s="79"/>
      <c r="DT741" s="99">
        <f t="shared" si="13"/>
        <v>0</v>
      </c>
    </row>
    <row r="742" spans="1:124" ht="37.5" hidden="1" x14ac:dyDescent="0.3">
      <c r="A742" s="143" t="s">
        <v>425</v>
      </c>
      <c r="B742" s="144">
        <v>936</v>
      </c>
      <c r="C742" s="111" t="s">
        <v>121</v>
      </c>
      <c r="D742" s="111" t="s">
        <v>128</v>
      </c>
      <c r="E742" s="266" t="s">
        <v>956</v>
      </c>
      <c r="F742" s="14" t="s">
        <v>59</v>
      </c>
      <c r="G742" s="72">
        <v>0</v>
      </c>
      <c r="H742" s="116"/>
      <c r="I742" s="117"/>
      <c r="J742" s="116"/>
      <c r="K742" s="80"/>
      <c r="L742" s="79"/>
      <c r="M742" s="79"/>
      <c r="AG742" s="79"/>
      <c r="AH742" s="79"/>
      <c r="DT742" s="99">
        <f t="shared" si="13"/>
        <v>0</v>
      </c>
    </row>
    <row r="743" spans="1:124" ht="56.25" x14ac:dyDescent="0.3">
      <c r="A743" s="278" t="s">
        <v>1152</v>
      </c>
      <c r="B743" s="144">
        <v>936</v>
      </c>
      <c r="C743" s="111" t="s">
        <v>121</v>
      </c>
      <c r="D743" s="111" t="s">
        <v>128</v>
      </c>
      <c r="E743" s="113" t="s">
        <v>1177</v>
      </c>
      <c r="F743" s="14" t="s">
        <v>50</v>
      </c>
      <c r="G743" s="72">
        <f>G744</f>
        <v>4158</v>
      </c>
      <c r="H743" s="116"/>
      <c r="I743" s="117"/>
      <c r="J743" s="116"/>
      <c r="K743" s="80"/>
      <c r="L743" s="79"/>
      <c r="M743" s="79"/>
      <c r="AG743" s="79"/>
      <c r="AH743" s="79"/>
      <c r="DT743" s="99">
        <f t="shared" si="13"/>
        <v>0</v>
      </c>
    </row>
    <row r="744" spans="1:124" ht="37.5" x14ac:dyDescent="0.3">
      <c r="A744" s="143" t="s">
        <v>425</v>
      </c>
      <c r="B744" s="144">
        <v>936</v>
      </c>
      <c r="C744" s="111" t="s">
        <v>121</v>
      </c>
      <c r="D744" s="111" t="s">
        <v>128</v>
      </c>
      <c r="E744" s="113" t="s">
        <v>1177</v>
      </c>
      <c r="F744" s="14" t="s">
        <v>59</v>
      </c>
      <c r="G744" s="72">
        <f>DT744</f>
        <v>4158</v>
      </c>
      <c r="H744" s="116"/>
      <c r="I744" s="117"/>
      <c r="J744" s="116"/>
      <c r="K744" s="80"/>
      <c r="L744" s="79"/>
      <c r="M744" s="79"/>
      <c r="AG744" s="79"/>
      <c r="AH744" s="79"/>
      <c r="DN744" s="274">
        <v>4158</v>
      </c>
      <c r="DT744" s="99">
        <f t="shared" si="13"/>
        <v>4158</v>
      </c>
    </row>
    <row r="745" spans="1:124" ht="56.25" x14ac:dyDescent="0.3">
      <c r="A745" s="278" t="s">
        <v>1152</v>
      </c>
      <c r="B745" s="144">
        <v>936</v>
      </c>
      <c r="C745" s="111" t="s">
        <v>121</v>
      </c>
      <c r="D745" s="111" t="s">
        <v>128</v>
      </c>
      <c r="E745" s="266" t="s">
        <v>1178</v>
      </c>
      <c r="F745" s="14" t="s">
        <v>50</v>
      </c>
      <c r="G745" s="72">
        <f>G746</f>
        <v>42</v>
      </c>
      <c r="H745" s="116"/>
      <c r="I745" s="117"/>
      <c r="J745" s="116"/>
      <c r="K745" s="80"/>
      <c r="L745" s="79"/>
      <c r="M745" s="79"/>
      <c r="AG745" s="79"/>
      <c r="AH745" s="79"/>
      <c r="DT745" s="99">
        <f t="shared" si="13"/>
        <v>0</v>
      </c>
    </row>
    <row r="746" spans="1:124" ht="37.5" x14ac:dyDescent="0.3">
      <c r="A746" s="143" t="s">
        <v>425</v>
      </c>
      <c r="B746" s="144">
        <v>936</v>
      </c>
      <c r="C746" s="111" t="s">
        <v>121</v>
      </c>
      <c r="D746" s="111" t="s">
        <v>128</v>
      </c>
      <c r="E746" s="266" t="s">
        <v>1178</v>
      </c>
      <c r="F746" s="14" t="s">
        <v>59</v>
      </c>
      <c r="G746" s="72">
        <f>DT746</f>
        <v>42</v>
      </c>
      <c r="H746" s="116"/>
      <c r="I746" s="117"/>
      <c r="J746" s="116"/>
      <c r="K746" s="80"/>
      <c r="L746" s="79"/>
      <c r="M746" s="79"/>
      <c r="AG746" s="79"/>
      <c r="AH746" s="79"/>
      <c r="DN746" s="274">
        <v>42</v>
      </c>
      <c r="DT746" s="99">
        <f t="shared" si="13"/>
        <v>42</v>
      </c>
    </row>
    <row r="747" spans="1:124" ht="37.5" x14ac:dyDescent="0.3">
      <c r="A747" s="165" t="s">
        <v>933</v>
      </c>
      <c r="B747" s="144">
        <v>936</v>
      </c>
      <c r="C747" s="111" t="s">
        <v>121</v>
      </c>
      <c r="D747" s="111" t="s">
        <v>128</v>
      </c>
      <c r="E747" s="266" t="s">
        <v>934</v>
      </c>
      <c r="F747" s="14" t="s">
        <v>50</v>
      </c>
      <c r="G747" s="72">
        <f>G748</f>
        <v>52402</v>
      </c>
      <c r="H747" s="116"/>
      <c r="I747" s="117"/>
      <c r="J747" s="116"/>
      <c r="K747" s="80"/>
      <c r="L747" s="79"/>
      <c r="M747" s="79"/>
      <c r="AG747" s="79"/>
      <c r="AH747" s="79"/>
      <c r="DT747" s="99">
        <f t="shared" si="13"/>
        <v>0</v>
      </c>
    </row>
    <row r="748" spans="1:124" ht="37.5" x14ac:dyDescent="0.3">
      <c r="A748" s="165" t="s">
        <v>813</v>
      </c>
      <c r="B748" s="144">
        <v>936</v>
      </c>
      <c r="C748" s="111" t="s">
        <v>121</v>
      </c>
      <c r="D748" s="111" t="s">
        <v>128</v>
      </c>
      <c r="E748" s="266" t="s">
        <v>935</v>
      </c>
      <c r="F748" s="14" t="s">
        <v>50</v>
      </c>
      <c r="G748" s="72">
        <f>G749+G751</f>
        <v>52402</v>
      </c>
      <c r="H748" s="116"/>
      <c r="I748" s="117"/>
      <c r="J748" s="116"/>
      <c r="K748" s="80"/>
      <c r="L748" s="79"/>
      <c r="M748" s="79"/>
      <c r="AG748" s="79"/>
      <c r="AH748" s="79"/>
      <c r="DT748" s="99">
        <f t="shared" si="13"/>
        <v>0</v>
      </c>
    </row>
    <row r="749" spans="1:124" ht="69.75" customHeight="1" x14ac:dyDescent="0.3">
      <c r="A749" s="165" t="s">
        <v>932</v>
      </c>
      <c r="B749" s="144">
        <v>936</v>
      </c>
      <c r="C749" s="111" t="s">
        <v>121</v>
      </c>
      <c r="D749" s="111" t="s">
        <v>128</v>
      </c>
      <c r="E749" s="266" t="s">
        <v>1136</v>
      </c>
      <c r="F749" s="14" t="s">
        <v>50</v>
      </c>
      <c r="G749" s="72">
        <f>G750</f>
        <v>51877</v>
      </c>
      <c r="H749" s="116"/>
      <c r="I749" s="117"/>
      <c r="J749" s="116"/>
      <c r="K749" s="80"/>
      <c r="L749" s="79"/>
      <c r="M749" s="79"/>
      <c r="AG749" s="79"/>
      <c r="AH749" s="79"/>
      <c r="DT749" s="99">
        <f t="shared" si="13"/>
        <v>0</v>
      </c>
    </row>
    <row r="750" spans="1:124" ht="37.5" x14ac:dyDescent="0.3">
      <c r="A750" s="143" t="s">
        <v>425</v>
      </c>
      <c r="B750" s="13">
        <v>936</v>
      </c>
      <c r="C750" s="14" t="s">
        <v>121</v>
      </c>
      <c r="D750" s="14" t="s">
        <v>128</v>
      </c>
      <c r="E750" s="266" t="s">
        <v>1136</v>
      </c>
      <c r="F750" s="14" t="s">
        <v>59</v>
      </c>
      <c r="G750" s="72">
        <f>DT750</f>
        <v>51877</v>
      </c>
      <c r="H750" s="116"/>
      <c r="I750" s="117">
        <v>92040</v>
      </c>
      <c r="J750" s="116"/>
      <c r="K750" s="80"/>
      <c r="L750" s="79"/>
      <c r="M750" s="79"/>
      <c r="AG750" s="79"/>
      <c r="AH750" s="79"/>
      <c r="BO750" s="238">
        <v>92040</v>
      </c>
      <c r="CQ750" s="99">
        <v>74965</v>
      </c>
      <c r="DN750" s="274">
        <f>51877</f>
        <v>51877</v>
      </c>
      <c r="DT750" s="99">
        <f t="shared" si="13"/>
        <v>51877</v>
      </c>
    </row>
    <row r="751" spans="1:124" ht="75" x14ac:dyDescent="0.3">
      <c r="A751" s="165" t="s">
        <v>932</v>
      </c>
      <c r="B751" s="13">
        <v>936</v>
      </c>
      <c r="C751" s="14" t="s">
        <v>121</v>
      </c>
      <c r="D751" s="14" t="s">
        <v>128</v>
      </c>
      <c r="E751" s="113" t="s">
        <v>1137</v>
      </c>
      <c r="F751" s="14" t="s">
        <v>50</v>
      </c>
      <c r="G751" s="72">
        <f>G752</f>
        <v>525</v>
      </c>
      <c r="H751" s="116"/>
      <c r="I751" s="117"/>
      <c r="J751" s="116"/>
      <c r="K751" s="80"/>
      <c r="L751" s="79"/>
      <c r="M751" s="79"/>
      <c r="AG751" s="79"/>
      <c r="AH751" s="79"/>
      <c r="DT751" s="99">
        <f t="shared" si="13"/>
        <v>0</v>
      </c>
    </row>
    <row r="752" spans="1:124" ht="37.5" x14ac:dyDescent="0.3">
      <c r="A752" s="143" t="s">
        <v>425</v>
      </c>
      <c r="B752" s="13">
        <v>936</v>
      </c>
      <c r="C752" s="14" t="s">
        <v>121</v>
      </c>
      <c r="D752" s="14" t="s">
        <v>128</v>
      </c>
      <c r="E752" s="113" t="s">
        <v>1137</v>
      </c>
      <c r="F752" s="14" t="s">
        <v>59</v>
      </c>
      <c r="G752" s="72">
        <f>DT752</f>
        <v>525</v>
      </c>
      <c r="H752" s="116"/>
      <c r="I752" s="117"/>
      <c r="J752" s="116">
        <v>929.7</v>
      </c>
      <c r="K752" s="80"/>
      <c r="L752" s="79"/>
      <c r="M752" s="79"/>
      <c r="AG752" s="79"/>
      <c r="AH752" s="79"/>
      <c r="BP752" s="239">
        <v>929.7</v>
      </c>
      <c r="CQ752" s="99">
        <v>758</v>
      </c>
      <c r="DN752" s="274">
        <v>525</v>
      </c>
      <c r="DT752" s="99">
        <f t="shared" si="13"/>
        <v>525</v>
      </c>
    </row>
    <row r="753" spans="1:124" ht="56.25" hidden="1" x14ac:dyDescent="0.3">
      <c r="A753" s="143" t="s">
        <v>686</v>
      </c>
      <c r="B753" s="13">
        <v>936</v>
      </c>
      <c r="C753" s="14" t="s">
        <v>121</v>
      </c>
      <c r="D753" s="14" t="s">
        <v>128</v>
      </c>
      <c r="E753" s="14" t="s">
        <v>897</v>
      </c>
      <c r="F753" s="14" t="s">
        <v>50</v>
      </c>
      <c r="G753" s="72">
        <f>G754</f>
        <v>0</v>
      </c>
      <c r="H753" s="116"/>
      <c r="I753" s="117">
        <v>50000</v>
      </c>
      <c r="J753" s="116"/>
      <c r="K753" s="80"/>
      <c r="L753" s="79"/>
      <c r="M753" s="79"/>
      <c r="AG753" s="79"/>
      <c r="AH753" s="79"/>
      <c r="DT753" s="99">
        <f t="shared" si="13"/>
        <v>0</v>
      </c>
    </row>
    <row r="754" spans="1:124" ht="37.5" hidden="1" x14ac:dyDescent="0.3">
      <c r="A754" s="143" t="s">
        <v>425</v>
      </c>
      <c r="B754" s="13">
        <v>936</v>
      </c>
      <c r="C754" s="14" t="s">
        <v>121</v>
      </c>
      <c r="D754" s="14" t="s">
        <v>128</v>
      </c>
      <c r="E754" s="14" t="s">
        <v>897</v>
      </c>
      <c r="F754" s="14" t="s">
        <v>59</v>
      </c>
      <c r="G754" s="72">
        <f>CC754-40000</f>
        <v>0</v>
      </c>
      <c r="H754" s="116"/>
      <c r="I754" s="117"/>
      <c r="J754" s="116"/>
      <c r="K754" s="80"/>
      <c r="L754" s="79"/>
      <c r="M754" s="79"/>
      <c r="AG754" s="79"/>
      <c r="AH754" s="79"/>
      <c r="BK754" s="226">
        <v>38907</v>
      </c>
      <c r="CC754" s="245">
        <v>40000</v>
      </c>
      <c r="DT754" s="99">
        <f t="shared" si="13"/>
        <v>0</v>
      </c>
    </row>
    <row r="755" spans="1:124" ht="56.25" hidden="1" x14ac:dyDescent="0.3">
      <c r="A755" s="143" t="s">
        <v>686</v>
      </c>
      <c r="B755" s="13">
        <v>936</v>
      </c>
      <c r="C755" s="14" t="s">
        <v>121</v>
      </c>
      <c r="D755" s="14" t="s">
        <v>128</v>
      </c>
      <c r="E755" s="14" t="s">
        <v>896</v>
      </c>
      <c r="F755" s="14" t="s">
        <v>50</v>
      </c>
      <c r="G755" s="72">
        <f>G756</f>
        <v>0</v>
      </c>
      <c r="H755" s="116"/>
      <c r="I755" s="117"/>
      <c r="J755" s="116">
        <v>50.1</v>
      </c>
      <c r="K755" s="80"/>
      <c r="L755" s="79"/>
      <c r="M755" s="79"/>
      <c r="AG755" s="79"/>
      <c r="AH755" s="79"/>
      <c r="DT755" s="99">
        <f t="shared" si="13"/>
        <v>0</v>
      </c>
    </row>
    <row r="756" spans="1:124" ht="37.5" hidden="1" x14ac:dyDescent="0.3">
      <c r="A756" s="143" t="s">
        <v>425</v>
      </c>
      <c r="B756" s="13">
        <v>936</v>
      </c>
      <c r="C756" s="14" t="s">
        <v>121</v>
      </c>
      <c r="D756" s="14" t="s">
        <v>128</v>
      </c>
      <c r="E756" s="14" t="s">
        <v>896</v>
      </c>
      <c r="F756" s="14" t="s">
        <v>59</v>
      </c>
      <c r="G756" s="72">
        <f>CC756-40</f>
        <v>0</v>
      </c>
      <c r="H756" s="116"/>
      <c r="I756" s="117"/>
      <c r="J756" s="116"/>
      <c r="K756" s="80"/>
      <c r="L756" s="79"/>
      <c r="M756" s="79"/>
      <c r="AG756" s="79"/>
      <c r="AH756" s="79"/>
      <c r="BK756" s="226">
        <v>39.119999999999997</v>
      </c>
      <c r="CC756" s="245">
        <v>40</v>
      </c>
      <c r="DT756" s="99">
        <f t="shared" si="13"/>
        <v>0</v>
      </c>
    </row>
    <row r="757" spans="1:124" ht="37.5" hidden="1" x14ac:dyDescent="0.3">
      <c r="A757" s="143" t="s">
        <v>68</v>
      </c>
      <c r="B757" s="70">
        <v>936</v>
      </c>
      <c r="C757" s="14" t="s">
        <v>121</v>
      </c>
      <c r="D757" s="14" t="s">
        <v>128</v>
      </c>
      <c r="E757" s="14" t="s">
        <v>370</v>
      </c>
      <c r="F757" s="14" t="s">
        <v>50</v>
      </c>
      <c r="G757" s="57">
        <f>G758</f>
        <v>0</v>
      </c>
      <c r="H757" s="116"/>
      <c r="I757" s="117"/>
      <c r="J757" s="116"/>
      <c r="K757" s="80"/>
      <c r="L757" s="79"/>
      <c r="M757" s="79"/>
      <c r="AG757" s="79"/>
      <c r="AH757" s="79"/>
      <c r="DT757" s="99">
        <f t="shared" si="13"/>
        <v>0</v>
      </c>
    </row>
    <row r="758" spans="1:124" ht="75" hidden="1" x14ac:dyDescent="0.3">
      <c r="A758" s="143" t="s">
        <v>369</v>
      </c>
      <c r="B758" s="70">
        <v>936</v>
      </c>
      <c r="C758" s="14" t="s">
        <v>121</v>
      </c>
      <c r="D758" s="14" t="s">
        <v>128</v>
      </c>
      <c r="E758" s="14" t="s">
        <v>371</v>
      </c>
      <c r="F758" s="14" t="s">
        <v>50</v>
      </c>
      <c r="G758" s="57">
        <f>G759</f>
        <v>0</v>
      </c>
      <c r="H758" s="116"/>
      <c r="I758" s="117"/>
      <c r="J758" s="116"/>
      <c r="K758" s="80"/>
      <c r="L758" s="79"/>
      <c r="M758" s="79"/>
      <c r="AG758" s="79"/>
      <c r="AH758" s="79"/>
      <c r="DT758" s="99">
        <f t="shared" si="13"/>
        <v>0</v>
      </c>
    </row>
    <row r="759" spans="1:124" ht="37.5" hidden="1" x14ac:dyDescent="0.3">
      <c r="A759" s="143" t="s">
        <v>425</v>
      </c>
      <c r="B759" s="70">
        <v>936</v>
      </c>
      <c r="C759" s="14" t="s">
        <v>121</v>
      </c>
      <c r="D759" s="14" t="s">
        <v>128</v>
      </c>
      <c r="E759" s="14" t="s">
        <v>371</v>
      </c>
      <c r="F759" s="14" t="s">
        <v>59</v>
      </c>
      <c r="G759" s="57">
        <v>0</v>
      </c>
      <c r="H759" s="116"/>
      <c r="I759" s="117"/>
      <c r="J759" s="116"/>
      <c r="K759" s="80"/>
      <c r="L759" s="79"/>
      <c r="M759" s="79"/>
      <c r="AG759" s="79"/>
      <c r="AH759" s="79"/>
      <c r="AK759" s="79">
        <v>2120.4</v>
      </c>
      <c r="DT759" s="99">
        <f t="shared" si="13"/>
        <v>0</v>
      </c>
    </row>
    <row r="760" spans="1:124" ht="44.25" hidden="1" customHeight="1" x14ac:dyDescent="0.3">
      <c r="A760" s="143" t="s">
        <v>462</v>
      </c>
      <c r="B760" s="70">
        <v>936</v>
      </c>
      <c r="C760" s="14" t="s">
        <v>121</v>
      </c>
      <c r="D760" s="14" t="s">
        <v>128</v>
      </c>
      <c r="E760" s="14" t="s">
        <v>463</v>
      </c>
      <c r="F760" s="14" t="s">
        <v>50</v>
      </c>
      <c r="G760" s="57">
        <f>G761+G764</f>
        <v>0</v>
      </c>
      <c r="H760" s="116"/>
      <c r="I760" s="117"/>
      <c r="J760" s="116"/>
      <c r="K760" s="80"/>
      <c r="L760" s="79"/>
      <c r="M760" s="79"/>
      <c r="AG760" s="79"/>
      <c r="AH760" s="79"/>
      <c r="DT760" s="99">
        <f t="shared" si="13"/>
        <v>0</v>
      </c>
    </row>
    <row r="761" spans="1:124" hidden="1" x14ac:dyDescent="0.3">
      <c r="A761" s="181" t="s">
        <v>459</v>
      </c>
      <c r="B761" s="70">
        <v>936</v>
      </c>
      <c r="C761" s="14" t="s">
        <v>121</v>
      </c>
      <c r="D761" s="14" t="s">
        <v>128</v>
      </c>
      <c r="E761" s="14" t="s">
        <v>367</v>
      </c>
      <c r="F761" s="14" t="s">
        <v>50</v>
      </c>
      <c r="G761" s="57">
        <f>G762+G790</f>
        <v>0</v>
      </c>
      <c r="H761" s="116"/>
      <c r="I761" s="117"/>
      <c r="J761" s="116"/>
      <c r="K761" s="80"/>
      <c r="L761" s="79"/>
      <c r="M761" s="79"/>
      <c r="AG761" s="79"/>
      <c r="AH761" s="79"/>
      <c r="DT761" s="99">
        <f t="shared" si="13"/>
        <v>0</v>
      </c>
    </row>
    <row r="762" spans="1:124" ht="37.5" hidden="1" x14ac:dyDescent="0.3">
      <c r="A762" s="181" t="s">
        <v>460</v>
      </c>
      <c r="B762" s="70">
        <v>936</v>
      </c>
      <c r="C762" s="14" t="s">
        <v>121</v>
      </c>
      <c r="D762" s="14" t="s">
        <v>128</v>
      </c>
      <c r="E762" s="14" t="s">
        <v>368</v>
      </c>
      <c r="F762" s="14" t="s">
        <v>50</v>
      </c>
      <c r="G762" s="57">
        <f>G763</f>
        <v>0</v>
      </c>
      <c r="H762" s="116"/>
      <c r="I762" s="117"/>
      <c r="J762" s="116"/>
      <c r="K762" s="80"/>
      <c r="L762" s="79"/>
      <c r="M762" s="79"/>
      <c r="AG762" s="79"/>
      <c r="AH762" s="79"/>
      <c r="DT762" s="99">
        <f t="shared" si="13"/>
        <v>0</v>
      </c>
    </row>
    <row r="763" spans="1:124" ht="37.5" hidden="1" x14ac:dyDescent="0.3">
      <c r="A763" s="143" t="s">
        <v>425</v>
      </c>
      <c r="B763" s="70">
        <v>936</v>
      </c>
      <c r="C763" s="14" t="s">
        <v>121</v>
      </c>
      <c r="D763" s="14" t="s">
        <v>128</v>
      </c>
      <c r="E763" s="14" t="s">
        <v>368</v>
      </c>
      <c r="F763" s="14" t="s">
        <v>59</v>
      </c>
      <c r="G763" s="57">
        <v>0</v>
      </c>
      <c r="H763" s="116"/>
      <c r="I763" s="117"/>
      <c r="J763" s="116"/>
      <c r="K763" s="80"/>
      <c r="L763" s="79"/>
      <c r="M763" s="79"/>
      <c r="AG763" s="79"/>
      <c r="AH763" s="79"/>
      <c r="AK763" s="79">
        <v>92040</v>
      </c>
      <c r="DT763" s="99">
        <f t="shared" si="13"/>
        <v>0</v>
      </c>
    </row>
    <row r="764" spans="1:124" ht="37.5" hidden="1" x14ac:dyDescent="0.3">
      <c r="A764" s="143" t="s">
        <v>461</v>
      </c>
      <c r="B764" s="70">
        <v>936</v>
      </c>
      <c r="C764" s="14" t="s">
        <v>121</v>
      </c>
      <c r="D764" s="14" t="s">
        <v>128</v>
      </c>
      <c r="E764" s="14" t="s">
        <v>464</v>
      </c>
      <c r="F764" s="14" t="s">
        <v>50</v>
      </c>
      <c r="G764" s="57">
        <f>G765</f>
        <v>0</v>
      </c>
      <c r="H764" s="116"/>
      <c r="I764" s="117"/>
      <c r="J764" s="116"/>
      <c r="K764" s="80"/>
      <c r="L764" s="79"/>
      <c r="M764" s="79"/>
      <c r="AG764" s="79"/>
      <c r="AH764" s="79"/>
      <c r="DT764" s="99">
        <f t="shared" si="13"/>
        <v>0</v>
      </c>
    </row>
    <row r="765" spans="1:124" ht="75" hidden="1" x14ac:dyDescent="0.3">
      <c r="A765" s="143" t="s">
        <v>369</v>
      </c>
      <c r="B765" s="70">
        <v>936</v>
      </c>
      <c r="C765" s="14" t="s">
        <v>121</v>
      </c>
      <c r="D765" s="14" t="s">
        <v>128</v>
      </c>
      <c r="E765" s="14" t="s">
        <v>465</v>
      </c>
      <c r="F765" s="14" t="s">
        <v>50</v>
      </c>
      <c r="G765" s="57">
        <f>G766</f>
        <v>0</v>
      </c>
      <c r="H765" s="116"/>
      <c r="I765" s="117"/>
      <c r="J765" s="116"/>
      <c r="K765" s="80"/>
      <c r="L765" s="79"/>
      <c r="M765" s="79"/>
      <c r="AG765" s="79"/>
      <c r="AH765" s="79"/>
      <c r="DT765" s="99">
        <f t="shared" si="13"/>
        <v>0</v>
      </c>
    </row>
    <row r="766" spans="1:124" ht="37.5" hidden="1" x14ac:dyDescent="0.3">
      <c r="A766" s="143" t="s">
        <v>58</v>
      </c>
      <c r="B766" s="70">
        <v>936</v>
      </c>
      <c r="C766" s="14" t="s">
        <v>121</v>
      </c>
      <c r="D766" s="14" t="s">
        <v>128</v>
      </c>
      <c r="E766" s="14" t="s">
        <v>465</v>
      </c>
      <c r="F766" s="14" t="s">
        <v>59</v>
      </c>
      <c r="G766" s="57">
        <v>0</v>
      </c>
      <c r="H766" s="116"/>
      <c r="I766" s="117"/>
      <c r="J766" s="116"/>
      <c r="K766" s="80"/>
      <c r="L766" s="79"/>
      <c r="M766" s="79"/>
      <c r="AG766" s="79"/>
      <c r="AH766" s="79"/>
      <c r="DT766" s="99">
        <f t="shared" si="13"/>
        <v>0</v>
      </c>
    </row>
    <row r="767" spans="1:124" ht="56.25" hidden="1" x14ac:dyDescent="0.3">
      <c r="A767" s="143" t="s">
        <v>458</v>
      </c>
      <c r="B767" s="13">
        <v>936</v>
      </c>
      <c r="C767" s="14" t="s">
        <v>121</v>
      </c>
      <c r="D767" s="14" t="s">
        <v>128</v>
      </c>
      <c r="E767" s="15" t="s">
        <v>29</v>
      </c>
      <c r="F767" s="14" t="s">
        <v>50</v>
      </c>
      <c r="G767" s="57">
        <f>G768+G771+G774+G793+G814+G816+G818+G836+G820+G822+G824+G826+G828+G830+G832+G834</f>
        <v>0</v>
      </c>
      <c r="H767" s="116"/>
      <c r="I767" s="117"/>
      <c r="J767" s="116"/>
      <c r="K767" s="80"/>
      <c r="L767" s="79"/>
      <c r="M767" s="79"/>
      <c r="AG767" s="79"/>
      <c r="AH767" s="79"/>
      <c r="DT767" s="99">
        <f t="shared" si="13"/>
        <v>0</v>
      </c>
    </row>
    <row r="768" spans="1:124" ht="21" hidden="1" customHeight="1" x14ac:dyDescent="0.3">
      <c r="A768" s="143" t="s">
        <v>62</v>
      </c>
      <c r="B768" s="13">
        <v>936</v>
      </c>
      <c r="C768" s="14" t="s">
        <v>121</v>
      </c>
      <c r="D768" s="14" t="s">
        <v>128</v>
      </c>
      <c r="E768" s="14" t="s">
        <v>251</v>
      </c>
      <c r="F768" s="14" t="s">
        <v>50</v>
      </c>
      <c r="G768" s="57">
        <f>G769</f>
        <v>0</v>
      </c>
      <c r="H768" s="116"/>
      <c r="I768" s="117"/>
      <c r="J768" s="116"/>
      <c r="K768" s="80"/>
      <c r="L768" s="79"/>
      <c r="M768" s="79"/>
      <c r="AG768" s="79"/>
      <c r="AH768" s="79"/>
      <c r="DT768" s="99">
        <f t="shared" si="13"/>
        <v>0</v>
      </c>
    </row>
    <row r="769" spans="1:124" ht="25.5" hidden="1" customHeight="1" x14ac:dyDescent="0.3">
      <c r="A769" s="143" t="s">
        <v>64</v>
      </c>
      <c r="B769" s="13">
        <v>936</v>
      </c>
      <c r="C769" s="14" t="s">
        <v>121</v>
      </c>
      <c r="D769" s="14" t="s">
        <v>128</v>
      </c>
      <c r="E769" s="14" t="s">
        <v>252</v>
      </c>
      <c r="F769" s="14" t="s">
        <v>50</v>
      </c>
      <c r="G769" s="57">
        <f>G770</f>
        <v>0</v>
      </c>
      <c r="H769" s="116"/>
      <c r="I769" s="117"/>
      <c r="J769" s="116"/>
      <c r="K769" s="80"/>
      <c r="L769" s="79"/>
      <c r="M769" s="79"/>
      <c r="AG769" s="79"/>
      <c r="AH769" s="79"/>
      <c r="DT769" s="99">
        <f t="shared" si="13"/>
        <v>0</v>
      </c>
    </row>
    <row r="770" spans="1:124" ht="37.5" hidden="1" x14ac:dyDescent="0.3">
      <c r="A770" s="143" t="s">
        <v>58</v>
      </c>
      <c r="B770" s="13">
        <v>936</v>
      </c>
      <c r="C770" s="14" t="s">
        <v>121</v>
      </c>
      <c r="D770" s="14" t="s">
        <v>128</v>
      </c>
      <c r="E770" s="14" t="s">
        <v>252</v>
      </c>
      <c r="F770" s="14" t="s">
        <v>59</v>
      </c>
      <c r="G770" s="57">
        <f>BU770</f>
        <v>0</v>
      </c>
      <c r="H770" s="116"/>
      <c r="I770" s="117"/>
      <c r="J770" s="116"/>
      <c r="K770" s="80"/>
      <c r="L770" s="79"/>
      <c r="M770" s="79"/>
      <c r="AG770" s="79"/>
      <c r="AH770" s="79"/>
      <c r="DT770" s="99">
        <f t="shared" si="13"/>
        <v>0</v>
      </c>
    </row>
    <row r="771" spans="1:124" ht="75" hidden="1" x14ac:dyDescent="0.3">
      <c r="A771" s="143" t="s">
        <v>249</v>
      </c>
      <c r="B771" s="13">
        <v>936</v>
      </c>
      <c r="C771" s="14" t="s">
        <v>121</v>
      </c>
      <c r="D771" s="14" t="s">
        <v>128</v>
      </c>
      <c r="E771" s="14" t="s">
        <v>254</v>
      </c>
      <c r="F771" s="14" t="s">
        <v>50</v>
      </c>
      <c r="G771" s="57">
        <f>G772</f>
        <v>0</v>
      </c>
      <c r="H771" s="116"/>
      <c r="I771" s="117"/>
      <c r="J771" s="116"/>
      <c r="K771" s="80"/>
      <c r="L771" s="79"/>
      <c r="M771" s="79"/>
      <c r="AG771" s="79"/>
      <c r="AH771" s="79"/>
      <c r="DT771" s="99">
        <f t="shared" si="13"/>
        <v>0</v>
      </c>
    </row>
    <row r="772" spans="1:124" ht="56.25" hidden="1" x14ac:dyDescent="0.3">
      <c r="A772" s="143" t="s">
        <v>253</v>
      </c>
      <c r="B772" s="13">
        <v>936</v>
      </c>
      <c r="C772" s="14" t="s">
        <v>121</v>
      </c>
      <c r="D772" s="14" t="s">
        <v>128</v>
      </c>
      <c r="E772" s="14" t="s">
        <v>255</v>
      </c>
      <c r="F772" s="14" t="s">
        <v>50</v>
      </c>
      <c r="G772" s="57">
        <f>G773</f>
        <v>0</v>
      </c>
      <c r="H772" s="116"/>
      <c r="I772" s="117"/>
      <c r="J772" s="116"/>
      <c r="K772" s="80"/>
      <c r="L772" s="79"/>
      <c r="M772" s="79"/>
      <c r="AG772" s="79"/>
      <c r="AH772" s="79"/>
      <c r="DT772" s="99">
        <f t="shared" si="13"/>
        <v>0</v>
      </c>
    </row>
    <row r="773" spans="1:124" ht="37.5" hidden="1" x14ac:dyDescent="0.3">
      <c r="A773" s="143" t="s">
        <v>425</v>
      </c>
      <c r="B773" s="13">
        <v>936</v>
      </c>
      <c r="C773" s="14" t="s">
        <v>121</v>
      </c>
      <c r="D773" s="14" t="s">
        <v>128</v>
      </c>
      <c r="E773" s="14" t="s">
        <v>255</v>
      </c>
      <c r="F773" s="14" t="s">
        <v>59</v>
      </c>
      <c r="G773" s="57">
        <f>BT773</f>
        <v>0</v>
      </c>
      <c r="H773" s="116"/>
      <c r="I773" s="117"/>
      <c r="J773" s="116"/>
      <c r="K773" s="80"/>
      <c r="L773" s="79"/>
      <c r="M773" s="79"/>
      <c r="AG773" s="79"/>
      <c r="AH773" s="79"/>
      <c r="DT773" s="99">
        <f t="shared" si="13"/>
        <v>0</v>
      </c>
    </row>
    <row r="774" spans="1:124" ht="56.25" hidden="1" x14ac:dyDescent="0.3">
      <c r="A774" s="143" t="s">
        <v>253</v>
      </c>
      <c r="B774" s="13">
        <v>936</v>
      </c>
      <c r="C774" s="14" t="s">
        <v>121</v>
      </c>
      <c r="D774" s="14" t="s">
        <v>128</v>
      </c>
      <c r="E774" s="14" t="s">
        <v>256</v>
      </c>
      <c r="F774" s="14" t="s">
        <v>50</v>
      </c>
      <c r="G774" s="57">
        <f>G775</f>
        <v>0</v>
      </c>
      <c r="H774" s="116"/>
      <c r="I774" s="117"/>
      <c r="J774" s="116"/>
      <c r="K774" s="80"/>
      <c r="L774" s="79"/>
      <c r="M774" s="79"/>
      <c r="AG774" s="79"/>
      <c r="AH774" s="79"/>
      <c r="DT774" s="99">
        <f t="shared" si="13"/>
        <v>0</v>
      </c>
    </row>
    <row r="775" spans="1:124" ht="37.5" hidden="1" x14ac:dyDescent="0.3">
      <c r="A775" s="143" t="s">
        <v>58</v>
      </c>
      <c r="B775" s="13">
        <v>936</v>
      </c>
      <c r="C775" s="14" t="s">
        <v>121</v>
      </c>
      <c r="D775" s="14" t="s">
        <v>128</v>
      </c>
      <c r="E775" s="14" t="s">
        <v>256</v>
      </c>
      <c r="F775" s="14" t="s">
        <v>59</v>
      </c>
      <c r="G775" s="57">
        <f>BU775</f>
        <v>0</v>
      </c>
      <c r="H775" s="116"/>
      <c r="I775" s="117"/>
      <c r="J775" s="116"/>
      <c r="K775" s="80"/>
      <c r="L775" s="79"/>
      <c r="M775" s="79"/>
      <c r="AG775" s="79"/>
      <c r="AH775" s="79"/>
      <c r="DT775" s="99">
        <f t="shared" si="13"/>
        <v>0</v>
      </c>
    </row>
    <row r="776" spans="1:124" ht="24" hidden="1" customHeight="1" x14ac:dyDescent="0.3">
      <c r="A776" s="143" t="s">
        <v>409</v>
      </c>
      <c r="B776" s="13">
        <v>936</v>
      </c>
      <c r="C776" s="14" t="s">
        <v>121</v>
      </c>
      <c r="D776" s="14" t="s">
        <v>128</v>
      </c>
      <c r="E776" s="15" t="s">
        <v>421</v>
      </c>
      <c r="F776" s="14" t="s">
        <v>50</v>
      </c>
      <c r="G776" s="57">
        <f>G777</f>
        <v>0</v>
      </c>
      <c r="H776" s="116"/>
      <c r="I776" s="117"/>
      <c r="J776" s="116"/>
      <c r="K776" s="80"/>
      <c r="L776" s="79"/>
      <c r="M776" s="79"/>
      <c r="AG776" s="79"/>
      <c r="AH776" s="79"/>
      <c r="DT776" s="99">
        <f t="shared" si="13"/>
        <v>0</v>
      </c>
    </row>
    <row r="777" spans="1:124" hidden="1" x14ac:dyDescent="0.3">
      <c r="A777" s="143" t="s">
        <v>62</v>
      </c>
      <c r="B777" s="13">
        <v>936</v>
      </c>
      <c r="C777" s="14" t="s">
        <v>121</v>
      </c>
      <c r="D777" s="14" t="s">
        <v>128</v>
      </c>
      <c r="E777" s="14" t="s">
        <v>422</v>
      </c>
      <c r="F777" s="14" t="s">
        <v>50</v>
      </c>
      <c r="G777" s="57">
        <f>G780+G778</f>
        <v>0</v>
      </c>
      <c r="H777" s="116"/>
      <c r="I777" s="117"/>
      <c r="J777" s="116"/>
      <c r="K777" s="80"/>
      <c r="L777" s="79"/>
      <c r="M777" s="79"/>
      <c r="AG777" s="79"/>
      <c r="AH777" s="79"/>
      <c r="DT777" s="99">
        <f t="shared" si="13"/>
        <v>0</v>
      </c>
    </row>
    <row r="778" spans="1:124" ht="31.5" hidden="1" customHeight="1" x14ac:dyDescent="0.3">
      <c r="A778" s="163" t="s">
        <v>64</v>
      </c>
      <c r="B778" s="13">
        <v>936</v>
      </c>
      <c r="C778" s="14" t="s">
        <v>121</v>
      </c>
      <c r="D778" s="14" t="s">
        <v>128</v>
      </c>
      <c r="E778" s="14" t="s">
        <v>483</v>
      </c>
      <c r="F778" s="14" t="s">
        <v>50</v>
      </c>
      <c r="G778" s="57">
        <f>G779</f>
        <v>0</v>
      </c>
      <c r="H778" s="116"/>
      <c r="I778" s="117"/>
      <c r="J778" s="116"/>
      <c r="K778" s="80"/>
      <c r="L778" s="79"/>
      <c r="M778" s="79"/>
      <c r="AG778" s="79"/>
      <c r="AH778" s="79"/>
      <c r="DT778" s="99">
        <f t="shared" ref="DT778:DT841" si="14">DN778+DO778+DP778+DQ778+DR778+DS778</f>
        <v>0</v>
      </c>
    </row>
    <row r="779" spans="1:124" ht="37.5" hidden="1" x14ac:dyDescent="0.3">
      <c r="A779" s="143" t="s">
        <v>58</v>
      </c>
      <c r="B779" s="13">
        <v>936</v>
      </c>
      <c r="C779" s="14" t="s">
        <v>121</v>
      </c>
      <c r="D779" s="14" t="s">
        <v>128</v>
      </c>
      <c r="E779" s="14" t="s">
        <v>483</v>
      </c>
      <c r="F779" s="14" t="s">
        <v>59</v>
      </c>
      <c r="G779" s="57">
        <v>0</v>
      </c>
      <c r="H779" s="116"/>
      <c r="I779" s="117"/>
      <c r="J779" s="116"/>
      <c r="K779" s="80"/>
      <c r="L779" s="79"/>
      <c r="M779" s="79"/>
      <c r="AG779" s="79"/>
      <c r="AH779" s="79"/>
      <c r="DT779" s="99">
        <f t="shared" si="14"/>
        <v>0</v>
      </c>
    </row>
    <row r="780" spans="1:124" ht="56.25" hidden="1" x14ac:dyDescent="0.3">
      <c r="A780" s="143" t="s">
        <v>257</v>
      </c>
      <c r="B780" s="13">
        <v>936</v>
      </c>
      <c r="C780" s="14" t="s">
        <v>121</v>
      </c>
      <c r="D780" s="14" t="s">
        <v>128</v>
      </c>
      <c r="E780" s="14" t="s">
        <v>423</v>
      </c>
      <c r="F780" s="14" t="s">
        <v>50</v>
      </c>
      <c r="G780" s="57">
        <f>G781</f>
        <v>0</v>
      </c>
      <c r="H780" s="116"/>
      <c r="I780" s="117"/>
      <c r="J780" s="116"/>
      <c r="K780" s="80"/>
      <c r="L780" s="79"/>
      <c r="M780" s="79"/>
      <c r="AG780" s="79"/>
      <c r="AH780" s="79"/>
      <c r="DT780" s="99">
        <f t="shared" si="14"/>
        <v>0</v>
      </c>
    </row>
    <row r="781" spans="1:124" ht="37.5" hidden="1" x14ac:dyDescent="0.3">
      <c r="A781" s="143" t="s">
        <v>425</v>
      </c>
      <c r="B781" s="13">
        <v>936</v>
      </c>
      <c r="C781" s="14" t="s">
        <v>121</v>
      </c>
      <c r="D781" s="14" t="s">
        <v>128</v>
      </c>
      <c r="E781" s="14" t="s">
        <v>423</v>
      </c>
      <c r="F781" s="14" t="s">
        <v>59</v>
      </c>
      <c r="G781" s="57">
        <v>0</v>
      </c>
      <c r="H781" s="116"/>
      <c r="I781" s="117"/>
      <c r="J781" s="116"/>
      <c r="K781" s="80"/>
      <c r="L781" s="79"/>
      <c r="M781" s="79"/>
      <c r="AG781" s="79"/>
      <c r="AH781" s="79"/>
      <c r="DT781" s="99">
        <f t="shared" si="14"/>
        <v>0</v>
      </c>
    </row>
    <row r="782" spans="1:124" ht="45.75" hidden="1" customHeight="1" x14ac:dyDescent="0.3">
      <c r="A782" s="156" t="s">
        <v>457</v>
      </c>
      <c r="B782" s="13">
        <v>936</v>
      </c>
      <c r="C782" s="14" t="s">
        <v>121</v>
      </c>
      <c r="D782" s="14" t="s">
        <v>128</v>
      </c>
      <c r="E782" s="15" t="s">
        <v>102</v>
      </c>
      <c r="F782" s="14" t="s">
        <v>50</v>
      </c>
      <c r="G782" s="57">
        <f>G783+G786</f>
        <v>0</v>
      </c>
      <c r="H782" s="116"/>
      <c r="I782" s="117"/>
      <c r="J782" s="116"/>
      <c r="K782" s="80"/>
      <c r="L782" s="79"/>
      <c r="M782" s="79"/>
      <c r="AG782" s="79"/>
      <c r="AH782" s="79"/>
      <c r="DT782" s="99">
        <f t="shared" si="14"/>
        <v>0</v>
      </c>
    </row>
    <row r="783" spans="1:124" hidden="1" x14ac:dyDescent="0.3">
      <c r="A783" s="163" t="s">
        <v>62</v>
      </c>
      <c r="B783" s="13">
        <v>936</v>
      </c>
      <c r="C783" s="14" t="s">
        <v>121</v>
      </c>
      <c r="D783" s="14" t="s">
        <v>128</v>
      </c>
      <c r="E783" s="14" t="s">
        <v>466</v>
      </c>
      <c r="F783" s="14" t="s">
        <v>50</v>
      </c>
      <c r="G783" s="57">
        <f>G784</f>
        <v>0</v>
      </c>
      <c r="H783" s="116"/>
      <c r="I783" s="117"/>
      <c r="J783" s="116"/>
      <c r="K783" s="80"/>
      <c r="L783" s="79"/>
      <c r="M783" s="79"/>
      <c r="AG783" s="79"/>
      <c r="AH783" s="79"/>
      <c r="DT783" s="99">
        <f t="shared" si="14"/>
        <v>0</v>
      </c>
    </row>
    <row r="784" spans="1:124" ht="25.5" hidden="1" customHeight="1" x14ac:dyDescent="0.3">
      <c r="A784" s="163" t="s">
        <v>64</v>
      </c>
      <c r="B784" s="13">
        <v>936</v>
      </c>
      <c r="C784" s="14" t="s">
        <v>121</v>
      </c>
      <c r="D784" s="14" t="s">
        <v>128</v>
      </c>
      <c r="E784" s="14" t="s">
        <v>454</v>
      </c>
      <c r="F784" s="14" t="s">
        <v>50</v>
      </c>
      <c r="G784" s="57">
        <f>G785</f>
        <v>0</v>
      </c>
      <c r="H784" s="116"/>
      <c r="I784" s="117"/>
      <c r="J784" s="116"/>
      <c r="K784" s="80"/>
      <c r="L784" s="79"/>
      <c r="M784" s="79"/>
      <c r="AG784" s="79"/>
      <c r="AH784" s="79"/>
      <c r="DT784" s="99">
        <f t="shared" si="14"/>
        <v>0</v>
      </c>
    </row>
    <row r="785" spans="1:124" ht="38.25" hidden="1" customHeight="1" x14ac:dyDescent="0.3">
      <c r="A785" s="143" t="s">
        <v>425</v>
      </c>
      <c r="B785" s="13">
        <v>936</v>
      </c>
      <c r="C785" s="14" t="s">
        <v>121</v>
      </c>
      <c r="D785" s="14" t="s">
        <v>128</v>
      </c>
      <c r="E785" s="14" t="s">
        <v>454</v>
      </c>
      <c r="F785" s="14" t="s">
        <v>59</v>
      </c>
      <c r="G785" s="57"/>
      <c r="H785" s="116"/>
      <c r="I785" s="117"/>
      <c r="J785" s="116"/>
      <c r="K785" s="80"/>
      <c r="L785" s="79"/>
      <c r="M785" s="79"/>
      <c r="AG785" s="79"/>
      <c r="AH785" s="79"/>
      <c r="DT785" s="99">
        <f t="shared" si="14"/>
        <v>0</v>
      </c>
    </row>
    <row r="786" spans="1:124" ht="37.5" hidden="1" x14ac:dyDescent="0.3">
      <c r="A786" s="181" t="s">
        <v>401</v>
      </c>
      <c r="B786" s="58">
        <v>936</v>
      </c>
      <c r="C786" s="14" t="s">
        <v>121</v>
      </c>
      <c r="D786" s="14" t="s">
        <v>128</v>
      </c>
      <c r="E786" s="44" t="s">
        <v>353</v>
      </c>
      <c r="F786" s="20" t="s">
        <v>50</v>
      </c>
      <c r="G786" s="57">
        <f>G787</f>
        <v>0</v>
      </c>
      <c r="H786" s="116"/>
      <c r="I786" s="117"/>
      <c r="J786" s="116"/>
      <c r="K786" s="80"/>
      <c r="L786" s="79"/>
      <c r="M786" s="79"/>
      <c r="AG786" s="79"/>
      <c r="AH786" s="79"/>
      <c r="DT786" s="99">
        <f t="shared" si="14"/>
        <v>0</v>
      </c>
    </row>
    <row r="787" spans="1:124" ht="37.5" hidden="1" x14ac:dyDescent="0.3">
      <c r="A787" s="181" t="s">
        <v>402</v>
      </c>
      <c r="B787" s="58">
        <v>936</v>
      </c>
      <c r="C787" s="14" t="s">
        <v>121</v>
      </c>
      <c r="D787" s="14" t="s">
        <v>128</v>
      </c>
      <c r="E787" s="44" t="s">
        <v>354</v>
      </c>
      <c r="F787" s="20" t="s">
        <v>50</v>
      </c>
      <c r="G787" s="57">
        <f>G788</f>
        <v>0</v>
      </c>
      <c r="H787" s="116"/>
      <c r="I787" s="117"/>
      <c r="J787" s="116"/>
      <c r="K787" s="80"/>
      <c r="L787" s="79"/>
      <c r="M787" s="79"/>
      <c r="AG787" s="79"/>
      <c r="AH787" s="79"/>
      <c r="DT787" s="99">
        <f t="shared" si="14"/>
        <v>0</v>
      </c>
    </row>
    <row r="788" spans="1:124" ht="37.5" hidden="1" x14ac:dyDescent="0.3">
      <c r="A788" s="163" t="s">
        <v>352</v>
      </c>
      <c r="B788" s="58">
        <v>936</v>
      </c>
      <c r="C788" s="14" t="s">
        <v>121</v>
      </c>
      <c r="D788" s="14" t="s">
        <v>128</v>
      </c>
      <c r="E788" s="44" t="s">
        <v>355</v>
      </c>
      <c r="F788" s="44" t="s">
        <v>50</v>
      </c>
      <c r="G788" s="57">
        <f>G789</f>
        <v>0</v>
      </c>
      <c r="H788" s="116"/>
      <c r="I788" s="117"/>
      <c r="J788" s="116"/>
      <c r="K788" s="80"/>
      <c r="L788" s="79"/>
      <c r="M788" s="79"/>
      <c r="AG788" s="79"/>
      <c r="AH788" s="79"/>
      <c r="DT788" s="99">
        <f t="shared" si="14"/>
        <v>0</v>
      </c>
    </row>
    <row r="789" spans="1:124" ht="37.5" hidden="1" x14ac:dyDescent="0.3">
      <c r="A789" s="143" t="s">
        <v>425</v>
      </c>
      <c r="B789" s="58">
        <v>936</v>
      </c>
      <c r="C789" s="14" t="s">
        <v>121</v>
      </c>
      <c r="D789" s="14" t="s">
        <v>128</v>
      </c>
      <c r="E789" s="44" t="s">
        <v>355</v>
      </c>
      <c r="F789" s="44" t="s">
        <v>59</v>
      </c>
      <c r="G789" s="57"/>
      <c r="H789" s="116"/>
      <c r="I789" s="117"/>
      <c r="J789" s="116"/>
      <c r="K789" s="80"/>
      <c r="L789" s="79"/>
      <c r="M789" s="79"/>
      <c r="AG789" s="79"/>
      <c r="AH789" s="79"/>
      <c r="DT789" s="99">
        <f t="shared" si="14"/>
        <v>0</v>
      </c>
    </row>
    <row r="790" spans="1:124" ht="65.25" hidden="1" customHeight="1" x14ac:dyDescent="0.3">
      <c r="A790" s="143" t="s">
        <v>616</v>
      </c>
      <c r="B790" s="70">
        <v>936</v>
      </c>
      <c r="C790" s="14" t="s">
        <v>121</v>
      </c>
      <c r="D790" s="14" t="s">
        <v>128</v>
      </c>
      <c r="E790" s="44" t="s">
        <v>615</v>
      </c>
      <c r="F790" s="44" t="s">
        <v>50</v>
      </c>
      <c r="G790" s="57">
        <f>G791</f>
        <v>0</v>
      </c>
      <c r="H790" s="116"/>
      <c r="I790" s="117"/>
      <c r="J790" s="116"/>
      <c r="K790" s="80"/>
      <c r="L790" s="79"/>
      <c r="M790" s="79"/>
      <c r="AG790" s="79"/>
      <c r="AH790" s="79"/>
      <c r="DT790" s="99">
        <f t="shared" si="14"/>
        <v>0</v>
      </c>
    </row>
    <row r="791" spans="1:124" ht="37.5" hidden="1" x14ac:dyDescent="0.3">
      <c r="A791" s="143" t="s">
        <v>58</v>
      </c>
      <c r="B791" s="70">
        <v>936</v>
      </c>
      <c r="C791" s="14" t="s">
        <v>121</v>
      </c>
      <c r="D791" s="14" t="s">
        <v>128</v>
      </c>
      <c r="E791" s="44" t="s">
        <v>615</v>
      </c>
      <c r="F791" s="44" t="s">
        <v>59</v>
      </c>
      <c r="G791" s="57">
        <v>0</v>
      </c>
      <c r="H791" s="116"/>
      <c r="I791" s="117"/>
      <c r="J791" s="116"/>
      <c r="K791" s="80"/>
      <c r="L791" s="79"/>
      <c r="M791" s="79"/>
      <c r="W791">
        <v>30080</v>
      </c>
      <c r="AG791" s="79"/>
      <c r="AH791" s="79"/>
      <c r="AK791" s="79">
        <v>0</v>
      </c>
      <c r="DT791" s="99">
        <f t="shared" si="14"/>
        <v>0</v>
      </c>
    </row>
    <row r="792" spans="1:124" ht="56.25" hidden="1" x14ac:dyDescent="0.3">
      <c r="A792" s="143" t="s">
        <v>458</v>
      </c>
      <c r="B792" s="13">
        <v>936</v>
      </c>
      <c r="C792" s="14" t="s">
        <v>121</v>
      </c>
      <c r="D792" s="14" t="s">
        <v>128</v>
      </c>
      <c r="E792" s="15" t="s">
        <v>29</v>
      </c>
      <c r="F792" s="14" t="s">
        <v>50</v>
      </c>
      <c r="G792" s="57">
        <v>0</v>
      </c>
      <c r="H792" s="116"/>
      <c r="I792" s="117"/>
      <c r="J792" s="116"/>
      <c r="K792" s="80"/>
      <c r="L792" s="79"/>
      <c r="M792" s="79"/>
      <c r="AG792" s="79"/>
      <c r="AH792" s="79"/>
      <c r="DT792" s="99">
        <f t="shared" si="14"/>
        <v>0</v>
      </c>
    </row>
    <row r="793" spans="1:124" ht="75" hidden="1" x14ac:dyDescent="0.3">
      <c r="A793" s="143" t="s">
        <v>249</v>
      </c>
      <c r="B793" s="13">
        <v>936</v>
      </c>
      <c r="C793" s="14" t="s">
        <v>121</v>
      </c>
      <c r="D793" s="14" t="s">
        <v>128</v>
      </c>
      <c r="E793" s="14" t="s">
        <v>823</v>
      </c>
      <c r="F793" s="14" t="s">
        <v>50</v>
      </c>
      <c r="G793" s="57">
        <f>G794+G796+G798+G800+G802+G804+G806+G808+G810+G812</f>
        <v>0</v>
      </c>
      <c r="H793" s="116"/>
      <c r="I793" s="117"/>
      <c r="J793" s="116"/>
      <c r="K793" s="80"/>
      <c r="L793" s="79"/>
      <c r="M793" s="79"/>
      <c r="AG793" s="79"/>
      <c r="AH793" s="79"/>
      <c r="DT793" s="99">
        <f t="shared" si="14"/>
        <v>0</v>
      </c>
    </row>
    <row r="794" spans="1:124" ht="112.5" hidden="1" x14ac:dyDescent="0.3">
      <c r="A794" s="143" t="s">
        <v>1099</v>
      </c>
      <c r="B794" s="58">
        <v>936</v>
      </c>
      <c r="C794" s="14" t="s">
        <v>121</v>
      </c>
      <c r="D794" s="14" t="s">
        <v>128</v>
      </c>
      <c r="E794" s="14" t="s">
        <v>824</v>
      </c>
      <c r="F794" s="14" t="s">
        <v>50</v>
      </c>
      <c r="G794" s="57">
        <f>G795</f>
        <v>0</v>
      </c>
      <c r="H794" s="116"/>
      <c r="I794" s="117"/>
      <c r="J794" s="116"/>
      <c r="K794" s="80"/>
      <c r="L794" s="79"/>
      <c r="M794" s="79"/>
      <c r="AG794" s="79"/>
      <c r="AH794" s="79"/>
      <c r="DT794" s="99">
        <f t="shared" si="14"/>
        <v>0</v>
      </c>
    </row>
    <row r="795" spans="1:124" ht="37.5" hidden="1" x14ac:dyDescent="0.3">
      <c r="A795" s="143" t="s">
        <v>425</v>
      </c>
      <c r="B795" s="58">
        <v>936</v>
      </c>
      <c r="C795" s="14" t="s">
        <v>121</v>
      </c>
      <c r="D795" s="14" t="s">
        <v>128</v>
      </c>
      <c r="E795" s="14" t="s">
        <v>824</v>
      </c>
      <c r="F795" s="44" t="s">
        <v>59</v>
      </c>
      <c r="G795" s="72">
        <v>0</v>
      </c>
      <c r="H795" s="116"/>
      <c r="I795" s="117"/>
      <c r="J795" s="116"/>
      <c r="K795" s="80">
        <v>545</v>
      </c>
      <c r="L795" s="79"/>
      <c r="M795" s="79"/>
      <c r="AG795" s="79"/>
      <c r="AH795" s="79"/>
      <c r="AK795" s="79">
        <v>0</v>
      </c>
      <c r="AP795" s="151">
        <v>1500</v>
      </c>
      <c r="CT795" s="258">
        <v>1500</v>
      </c>
      <c r="DT795" s="99">
        <f t="shared" si="14"/>
        <v>0</v>
      </c>
    </row>
    <row r="796" spans="1:124" ht="126.75" hidden="1" customHeight="1" x14ac:dyDescent="0.3">
      <c r="A796" s="143" t="s">
        <v>1100</v>
      </c>
      <c r="B796" s="58">
        <v>936</v>
      </c>
      <c r="C796" s="14" t="s">
        <v>121</v>
      </c>
      <c r="D796" s="14" t="s">
        <v>128</v>
      </c>
      <c r="E796" s="14" t="s">
        <v>963</v>
      </c>
      <c r="F796" s="44" t="s">
        <v>50</v>
      </c>
      <c r="G796" s="57">
        <f>G797</f>
        <v>0</v>
      </c>
      <c r="H796" s="116"/>
      <c r="I796" s="117"/>
      <c r="J796" s="116"/>
      <c r="K796" s="80"/>
      <c r="L796" s="79"/>
      <c r="M796" s="79"/>
      <c r="AG796" s="79"/>
      <c r="AH796" s="79"/>
      <c r="DT796" s="99">
        <f t="shared" si="14"/>
        <v>0</v>
      </c>
    </row>
    <row r="797" spans="1:124" ht="37.5" hidden="1" x14ac:dyDescent="0.3">
      <c r="A797" s="143" t="s">
        <v>58</v>
      </c>
      <c r="B797" s="58">
        <v>936</v>
      </c>
      <c r="C797" s="14" t="s">
        <v>121</v>
      </c>
      <c r="D797" s="14" t="s">
        <v>128</v>
      </c>
      <c r="E797" s="14" t="s">
        <v>963</v>
      </c>
      <c r="F797" s="44" t="s">
        <v>59</v>
      </c>
      <c r="G797" s="72">
        <v>0</v>
      </c>
      <c r="H797" s="116"/>
      <c r="I797" s="117"/>
      <c r="J797" s="116"/>
      <c r="K797" s="80">
        <v>1000</v>
      </c>
      <c r="L797" s="79"/>
      <c r="M797" s="79"/>
      <c r="AG797" s="79"/>
      <c r="AH797" s="79"/>
      <c r="AK797" s="79">
        <v>0</v>
      </c>
      <c r="AP797" s="151">
        <v>1500</v>
      </c>
      <c r="CT797" s="258">
        <v>1500</v>
      </c>
      <c r="DT797" s="99">
        <f t="shared" si="14"/>
        <v>0</v>
      </c>
    </row>
    <row r="798" spans="1:124" ht="93.75" hidden="1" x14ac:dyDescent="0.3">
      <c r="A798" s="143" t="s">
        <v>1074</v>
      </c>
      <c r="B798" s="58">
        <v>936</v>
      </c>
      <c r="C798" s="14" t="s">
        <v>121</v>
      </c>
      <c r="D798" s="14" t="s">
        <v>128</v>
      </c>
      <c r="E798" s="14" t="s">
        <v>964</v>
      </c>
      <c r="F798" s="44" t="s">
        <v>50</v>
      </c>
      <c r="G798" s="57">
        <f>G799</f>
        <v>0</v>
      </c>
      <c r="H798" s="116"/>
      <c r="I798" s="117"/>
      <c r="J798" s="116"/>
      <c r="K798" s="80"/>
      <c r="L798" s="79"/>
      <c r="M798" s="79"/>
      <c r="AG798" s="79"/>
      <c r="AH798" s="79"/>
      <c r="DT798" s="99">
        <f t="shared" si="14"/>
        <v>0</v>
      </c>
    </row>
    <row r="799" spans="1:124" ht="42" hidden="1" customHeight="1" x14ac:dyDescent="0.3">
      <c r="A799" s="143" t="s">
        <v>425</v>
      </c>
      <c r="B799" s="58">
        <v>936</v>
      </c>
      <c r="C799" s="14" t="s">
        <v>121</v>
      </c>
      <c r="D799" s="14" t="s">
        <v>128</v>
      </c>
      <c r="E799" s="14" t="s">
        <v>964</v>
      </c>
      <c r="F799" s="44" t="s">
        <v>59</v>
      </c>
      <c r="G799" s="72">
        <v>0</v>
      </c>
      <c r="H799" s="116"/>
      <c r="I799" s="117"/>
      <c r="J799" s="116"/>
      <c r="K799" s="80">
        <v>945</v>
      </c>
      <c r="L799" s="79"/>
      <c r="M799" s="79"/>
      <c r="AG799" s="79">
        <v>-31.395</v>
      </c>
      <c r="AH799" s="79"/>
      <c r="AK799" s="79">
        <v>0</v>
      </c>
      <c r="AP799" s="151">
        <v>1308.298</v>
      </c>
      <c r="CT799" s="258">
        <v>1500</v>
      </c>
      <c r="DT799" s="99">
        <f t="shared" si="14"/>
        <v>0</v>
      </c>
    </row>
    <row r="800" spans="1:124" ht="150" hidden="1" x14ac:dyDescent="0.3">
      <c r="A800" s="143" t="s">
        <v>1089</v>
      </c>
      <c r="B800" s="58">
        <v>936</v>
      </c>
      <c r="C800" s="14" t="s">
        <v>121</v>
      </c>
      <c r="D800" s="14" t="s">
        <v>128</v>
      </c>
      <c r="E800" s="14" t="s">
        <v>965</v>
      </c>
      <c r="F800" s="44" t="s">
        <v>50</v>
      </c>
      <c r="G800" s="57">
        <f>G801</f>
        <v>0</v>
      </c>
      <c r="H800" s="116"/>
      <c r="I800" s="117"/>
      <c r="J800" s="116"/>
      <c r="K800" s="80"/>
      <c r="L800" s="79"/>
      <c r="M800" s="79"/>
      <c r="AG800" s="79"/>
      <c r="AH800" s="79"/>
      <c r="DT800" s="99">
        <f t="shared" si="14"/>
        <v>0</v>
      </c>
    </row>
    <row r="801" spans="1:124" ht="37.5" hidden="1" x14ac:dyDescent="0.3">
      <c r="A801" s="143" t="s">
        <v>425</v>
      </c>
      <c r="B801" s="58">
        <v>936</v>
      </c>
      <c r="C801" s="14" t="s">
        <v>121</v>
      </c>
      <c r="D801" s="14" t="s">
        <v>128</v>
      </c>
      <c r="E801" s="14" t="s">
        <v>965</v>
      </c>
      <c r="F801" s="44" t="s">
        <v>59</v>
      </c>
      <c r="G801" s="57">
        <v>0</v>
      </c>
      <c r="H801" s="116"/>
      <c r="I801" s="117"/>
      <c r="J801" s="116"/>
      <c r="K801" s="80">
        <v>760</v>
      </c>
      <c r="L801" s="79"/>
      <c r="M801" s="79"/>
      <c r="AG801" s="79">
        <v>-26.561</v>
      </c>
      <c r="AH801" s="79"/>
      <c r="AK801" s="79">
        <v>0</v>
      </c>
      <c r="AT801" s="194">
        <v>802.98199999999997</v>
      </c>
      <c r="CT801" s="258">
        <v>1500</v>
      </c>
      <c r="DT801" s="99">
        <f t="shared" si="14"/>
        <v>0</v>
      </c>
    </row>
    <row r="802" spans="1:124" ht="121.5" hidden="1" customHeight="1" x14ac:dyDescent="0.3">
      <c r="A802" s="143" t="s">
        <v>1101</v>
      </c>
      <c r="B802" s="58">
        <v>936</v>
      </c>
      <c r="C802" s="14" t="s">
        <v>121</v>
      </c>
      <c r="D802" s="14" t="s">
        <v>128</v>
      </c>
      <c r="E802" s="14" t="s">
        <v>966</v>
      </c>
      <c r="F802" s="44" t="s">
        <v>50</v>
      </c>
      <c r="G802" s="57">
        <f>G803</f>
        <v>0</v>
      </c>
      <c r="H802" s="116"/>
      <c r="I802" s="117"/>
      <c r="J802" s="116"/>
      <c r="K802" s="80"/>
      <c r="L802" s="79"/>
      <c r="M802" s="79"/>
      <c r="AG802" s="79"/>
      <c r="AH802" s="79"/>
      <c r="DT802" s="99">
        <f t="shared" si="14"/>
        <v>0</v>
      </c>
    </row>
    <row r="803" spans="1:124" ht="37.5" hidden="1" x14ac:dyDescent="0.3">
      <c r="A803" s="143" t="s">
        <v>58</v>
      </c>
      <c r="B803" s="58">
        <v>936</v>
      </c>
      <c r="C803" s="14" t="s">
        <v>121</v>
      </c>
      <c r="D803" s="14" t="s">
        <v>128</v>
      </c>
      <c r="E803" s="14" t="s">
        <v>966</v>
      </c>
      <c r="F803" s="44" t="s">
        <v>59</v>
      </c>
      <c r="G803" s="72">
        <v>0</v>
      </c>
      <c r="H803" s="116"/>
      <c r="I803" s="117"/>
      <c r="J803" s="116"/>
      <c r="K803" s="80">
        <v>1000</v>
      </c>
      <c r="L803" s="79"/>
      <c r="M803" s="79"/>
      <c r="AG803" s="79"/>
      <c r="AH803" s="79"/>
      <c r="AK803" s="79">
        <v>0</v>
      </c>
      <c r="CT803" s="258">
        <v>1500</v>
      </c>
      <c r="DT803" s="99">
        <f t="shared" si="14"/>
        <v>0</v>
      </c>
    </row>
    <row r="804" spans="1:124" ht="131.25" hidden="1" x14ac:dyDescent="0.3">
      <c r="A804" s="143" t="s">
        <v>1102</v>
      </c>
      <c r="B804" s="58">
        <v>936</v>
      </c>
      <c r="C804" s="14" t="s">
        <v>121</v>
      </c>
      <c r="D804" s="14" t="s">
        <v>128</v>
      </c>
      <c r="E804" s="14" t="s">
        <v>967</v>
      </c>
      <c r="F804" s="44" t="s">
        <v>50</v>
      </c>
      <c r="G804" s="57">
        <f>G805</f>
        <v>0</v>
      </c>
      <c r="H804" s="116"/>
      <c r="I804" s="117"/>
      <c r="J804" s="116"/>
      <c r="K804" s="80"/>
      <c r="L804" s="79"/>
      <c r="M804" s="79"/>
      <c r="AG804" s="79"/>
      <c r="AH804" s="79"/>
      <c r="DT804" s="99">
        <f t="shared" si="14"/>
        <v>0</v>
      </c>
    </row>
    <row r="805" spans="1:124" ht="37.5" hidden="1" x14ac:dyDescent="0.3">
      <c r="A805" s="143" t="s">
        <v>425</v>
      </c>
      <c r="B805" s="58">
        <v>936</v>
      </c>
      <c r="C805" s="14" t="s">
        <v>121</v>
      </c>
      <c r="D805" s="14" t="s">
        <v>128</v>
      </c>
      <c r="E805" s="14" t="s">
        <v>967</v>
      </c>
      <c r="F805" s="44" t="s">
        <v>59</v>
      </c>
      <c r="G805" s="72">
        <v>0</v>
      </c>
      <c r="H805" s="116"/>
      <c r="I805" s="117"/>
      <c r="J805" s="116"/>
      <c r="K805" s="80">
        <v>928</v>
      </c>
      <c r="L805" s="79"/>
      <c r="M805" s="79"/>
      <c r="AG805" s="79"/>
      <c r="AH805" s="79"/>
      <c r="AK805" s="79">
        <v>0</v>
      </c>
      <c r="CT805" s="258">
        <v>687.22199999999998</v>
      </c>
      <c r="DT805" s="99">
        <f t="shared" si="14"/>
        <v>0</v>
      </c>
    </row>
    <row r="806" spans="1:124" ht="93.75" hidden="1" x14ac:dyDescent="0.3">
      <c r="A806" s="143" t="s">
        <v>1103</v>
      </c>
      <c r="B806" s="58">
        <v>936</v>
      </c>
      <c r="C806" s="14" t="s">
        <v>121</v>
      </c>
      <c r="D806" s="14" t="s">
        <v>128</v>
      </c>
      <c r="E806" s="14" t="s">
        <v>968</v>
      </c>
      <c r="F806" s="44" t="s">
        <v>50</v>
      </c>
      <c r="G806" s="57">
        <f>G807</f>
        <v>0</v>
      </c>
      <c r="H806" s="116"/>
      <c r="I806" s="117"/>
      <c r="J806" s="116"/>
      <c r="K806" s="80"/>
      <c r="L806" s="79"/>
      <c r="M806" s="79"/>
      <c r="AG806" s="79"/>
      <c r="AH806" s="79"/>
      <c r="DT806" s="99">
        <f t="shared" si="14"/>
        <v>0</v>
      </c>
    </row>
    <row r="807" spans="1:124" ht="37.5" hidden="1" x14ac:dyDescent="0.3">
      <c r="A807" s="143" t="s">
        <v>425</v>
      </c>
      <c r="B807" s="58">
        <v>936</v>
      </c>
      <c r="C807" s="14" t="s">
        <v>121</v>
      </c>
      <c r="D807" s="14" t="s">
        <v>128</v>
      </c>
      <c r="E807" s="14" t="s">
        <v>968</v>
      </c>
      <c r="F807" s="44" t="s">
        <v>59</v>
      </c>
      <c r="G807" s="72">
        <v>0</v>
      </c>
      <c r="H807" s="116"/>
      <c r="I807" s="117"/>
      <c r="J807" s="116"/>
      <c r="K807" s="80">
        <v>790</v>
      </c>
      <c r="L807" s="79"/>
      <c r="M807" s="79"/>
      <c r="AG807" s="79"/>
      <c r="AH807" s="79"/>
      <c r="AK807" s="79">
        <v>0</v>
      </c>
      <c r="CT807" s="258">
        <v>1500</v>
      </c>
      <c r="DT807" s="99">
        <f t="shared" si="14"/>
        <v>0</v>
      </c>
    </row>
    <row r="808" spans="1:124" ht="93.75" hidden="1" x14ac:dyDescent="0.3">
      <c r="A808" s="143" t="s">
        <v>1092</v>
      </c>
      <c r="B808" s="58">
        <v>936</v>
      </c>
      <c r="C808" s="14" t="s">
        <v>121</v>
      </c>
      <c r="D808" s="14" t="s">
        <v>128</v>
      </c>
      <c r="E808" s="14" t="s">
        <v>969</v>
      </c>
      <c r="F808" s="44" t="s">
        <v>50</v>
      </c>
      <c r="G808" s="72">
        <f>G809</f>
        <v>0</v>
      </c>
      <c r="H808" s="116"/>
      <c r="I808" s="117"/>
      <c r="J808" s="116"/>
      <c r="K808" s="80"/>
      <c r="L808" s="79"/>
      <c r="M808" s="79"/>
      <c r="AG808" s="79"/>
      <c r="AH808" s="79"/>
      <c r="DT808" s="99">
        <f t="shared" si="14"/>
        <v>0</v>
      </c>
    </row>
    <row r="809" spans="1:124" ht="37.5" hidden="1" x14ac:dyDescent="0.3">
      <c r="A809" s="143" t="s">
        <v>425</v>
      </c>
      <c r="B809" s="58">
        <v>936</v>
      </c>
      <c r="C809" s="14" t="s">
        <v>121</v>
      </c>
      <c r="D809" s="14" t="s">
        <v>128</v>
      </c>
      <c r="E809" s="14" t="s">
        <v>969</v>
      </c>
      <c r="F809" s="44" t="s">
        <v>59</v>
      </c>
      <c r="G809" s="72">
        <v>0</v>
      </c>
      <c r="H809" s="116"/>
      <c r="I809" s="117"/>
      <c r="J809" s="116"/>
      <c r="K809" s="80"/>
      <c r="L809" s="79"/>
      <c r="M809" s="79"/>
      <c r="AG809" s="79"/>
      <c r="AH809" s="79"/>
      <c r="CT809" s="258">
        <v>1263.2439999999999</v>
      </c>
      <c r="DT809" s="99">
        <f t="shared" si="14"/>
        <v>0</v>
      </c>
    </row>
    <row r="810" spans="1:124" ht="112.5" hidden="1" x14ac:dyDescent="0.3">
      <c r="A810" s="143" t="s">
        <v>1104</v>
      </c>
      <c r="B810" s="58">
        <v>936</v>
      </c>
      <c r="C810" s="14" t="s">
        <v>121</v>
      </c>
      <c r="D810" s="14" t="s">
        <v>128</v>
      </c>
      <c r="E810" s="44" t="s">
        <v>970</v>
      </c>
      <c r="F810" s="44" t="s">
        <v>50</v>
      </c>
      <c r="G810" s="72">
        <f>G811</f>
        <v>0</v>
      </c>
      <c r="H810" s="116"/>
      <c r="I810" s="117"/>
      <c r="J810" s="116"/>
      <c r="K810" s="80"/>
      <c r="L810" s="79"/>
      <c r="M810" s="79"/>
      <c r="AG810" s="79"/>
      <c r="AH810" s="79"/>
      <c r="DT810" s="99">
        <f t="shared" si="14"/>
        <v>0</v>
      </c>
    </row>
    <row r="811" spans="1:124" ht="37.5" hidden="1" x14ac:dyDescent="0.3">
      <c r="A811" s="143" t="s">
        <v>425</v>
      </c>
      <c r="B811" s="58">
        <v>936</v>
      </c>
      <c r="C811" s="14" t="s">
        <v>121</v>
      </c>
      <c r="D811" s="14" t="s">
        <v>128</v>
      </c>
      <c r="E811" s="44" t="s">
        <v>970</v>
      </c>
      <c r="F811" s="44" t="s">
        <v>59</v>
      </c>
      <c r="G811" s="72">
        <v>0</v>
      </c>
      <c r="H811" s="116"/>
      <c r="I811" s="117"/>
      <c r="J811" s="116"/>
      <c r="K811" s="80"/>
      <c r="L811" s="79"/>
      <c r="M811" s="79"/>
      <c r="AG811" s="79"/>
      <c r="AH811" s="79"/>
      <c r="CA811" s="226">
        <v>802.98199999999997</v>
      </c>
      <c r="CT811" s="258">
        <v>1000</v>
      </c>
      <c r="DT811" s="99">
        <f t="shared" si="14"/>
        <v>0</v>
      </c>
    </row>
    <row r="812" spans="1:124" ht="112.5" hidden="1" x14ac:dyDescent="0.3">
      <c r="A812" s="143" t="s">
        <v>1105</v>
      </c>
      <c r="B812" s="58">
        <v>936</v>
      </c>
      <c r="C812" s="14" t="s">
        <v>121</v>
      </c>
      <c r="D812" s="14" t="s">
        <v>128</v>
      </c>
      <c r="E812" s="44" t="s">
        <v>971</v>
      </c>
      <c r="F812" s="44" t="s">
        <v>50</v>
      </c>
      <c r="G812" s="72">
        <f>G813</f>
        <v>0</v>
      </c>
      <c r="H812" s="116"/>
      <c r="I812" s="117"/>
      <c r="J812" s="116"/>
      <c r="K812" s="80"/>
      <c r="L812" s="79"/>
      <c r="M812" s="79"/>
      <c r="AG812" s="79"/>
      <c r="AH812" s="79"/>
      <c r="DT812" s="99">
        <f t="shared" si="14"/>
        <v>0</v>
      </c>
    </row>
    <row r="813" spans="1:124" ht="37.5" hidden="1" x14ac:dyDescent="0.3">
      <c r="A813" s="143" t="s">
        <v>425</v>
      </c>
      <c r="B813" s="58">
        <v>936</v>
      </c>
      <c r="C813" s="14" t="s">
        <v>121</v>
      </c>
      <c r="D813" s="14" t="s">
        <v>128</v>
      </c>
      <c r="E813" s="44" t="s">
        <v>971</v>
      </c>
      <c r="F813" s="44" t="s">
        <v>59</v>
      </c>
      <c r="G813" s="72">
        <v>0</v>
      </c>
      <c r="H813" s="116"/>
      <c r="I813" s="117"/>
      <c r="J813" s="116"/>
      <c r="K813" s="80"/>
      <c r="L813" s="79"/>
      <c r="M813" s="79"/>
      <c r="AG813" s="79"/>
      <c r="AH813" s="79"/>
      <c r="CE813" s="194">
        <v>1126.442</v>
      </c>
      <c r="CT813" s="258">
        <v>1500</v>
      </c>
      <c r="DT813" s="99">
        <f t="shared" si="14"/>
        <v>0</v>
      </c>
    </row>
    <row r="814" spans="1:124" ht="112.5" hidden="1" x14ac:dyDescent="0.3">
      <c r="A814" s="143" t="s">
        <v>1099</v>
      </c>
      <c r="B814" s="58">
        <v>936</v>
      </c>
      <c r="C814" s="14" t="s">
        <v>121</v>
      </c>
      <c r="D814" s="14" t="s">
        <v>128</v>
      </c>
      <c r="E814" s="14" t="s">
        <v>827</v>
      </c>
      <c r="F814" s="44" t="s">
        <v>50</v>
      </c>
      <c r="G814" s="57">
        <f>G815</f>
        <v>0</v>
      </c>
      <c r="H814" s="116"/>
      <c r="I814" s="117"/>
      <c r="J814" s="116"/>
      <c r="K814" s="80"/>
      <c r="L814" s="79"/>
      <c r="M814" s="79"/>
      <c r="AG814" s="79"/>
      <c r="AH814" s="79"/>
      <c r="DT814" s="99">
        <f t="shared" si="14"/>
        <v>0</v>
      </c>
    </row>
    <row r="815" spans="1:124" ht="37.5" hidden="1" x14ac:dyDescent="0.3">
      <c r="A815" s="143" t="s">
        <v>425</v>
      </c>
      <c r="B815" s="58">
        <v>936</v>
      </c>
      <c r="C815" s="14" t="s">
        <v>121</v>
      </c>
      <c r="D815" s="14" t="s">
        <v>128</v>
      </c>
      <c r="E815" s="14" t="s">
        <v>827</v>
      </c>
      <c r="F815" s="44" t="s">
        <v>59</v>
      </c>
      <c r="G815" s="57">
        <v>0</v>
      </c>
      <c r="H815" s="116"/>
      <c r="I815" s="117"/>
      <c r="J815" s="116"/>
      <c r="K815" s="80"/>
      <c r="L815" s="79"/>
      <c r="M815" s="79">
        <v>79.947000000000003</v>
      </c>
      <c r="AC815">
        <v>-19.086729999999999</v>
      </c>
      <c r="AG815" s="79"/>
      <c r="AH815" s="79"/>
      <c r="AK815" s="79">
        <v>0</v>
      </c>
      <c r="AQ815" s="151">
        <v>621.42399999999998</v>
      </c>
      <c r="CU815" s="258">
        <v>232.57900000000001</v>
      </c>
      <c r="DF815" s="194">
        <v>-71.2</v>
      </c>
      <c r="DT815" s="99">
        <f t="shared" si="14"/>
        <v>0</v>
      </c>
    </row>
    <row r="816" spans="1:124" ht="131.25" hidden="1" x14ac:dyDescent="0.3">
      <c r="A816" s="143" t="s">
        <v>1100</v>
      </c>
      <c r="B816" s="58">
        <v>936</v>
      </c>
      <c r="C816" s="14" t="s">
        <v>121</v>
      </c>
      <c r="D816" s="14" t="s">
        <v>128</v>
      </c>
      <c r="E816" s="14" t="s">
        <v>972</v>
      </c>
      <c r="F816" s="44" t="s">
        <v>50</v>
      </c>
      <c r="G816" s="57">
        <f>G817</f>
        <v>0</v>
      </c>
      <c r="H816" s="116"/>
      <c r="I816" s="117"/>
      <c r="J816" s="116"/>
      <c r="K816" s="80"/>
      <c r="L816" s="79"/>
      <c r="M816" s="79"/>
      <c r="AG816" s="79"/>
      <c r="AH816" s="79"/>
      <c r="DT816" s="99">
        <f t="shared" si="14"/>
        <v>0</v>
      </c>
    </row>
    <row r="817" spans="1:124" ht="37.5" hidden="1" x14ac:dyDescent="0.3">
      <c r="A817" s="143" t="s">
        <v>425</v>
      </c>
      <c r="B817" s="58">
        <v>936</v>
      </c>
      <c r="C817" s="14" t="s">
        <v>121</v>
      </c>
      <c r="D817" s="14" t="s">
        <v>128</v>
      </c>
      <c r="E817" s="14" t="s">
        <v>972</v>
      </c>
      <c r="F817" s="44" t="s">
        <v>59</v>
      </c>
      <c r="G817" s="57">
        <v>0</v>
      </c>
      <c r="H817" s="116"/>
      <c r="I817" s="117"/>
      <c r="J817" s="116"/>
      <c r="K817" s="80"/>
      <c r="L817" s="79"/>
      <c r="M817" s="79">
        <v>228.387</v>
      </c>
      <c r="AG817" s="79"/>
      <c r="AH817" s="79"/>
      <c r="AK817" s="79">
        <v>0</v>
      </c>
      <c r="AQ817" s="151">
        <v>2223.3449999999998</v>
      </c>
      <c r="AV817" s="194">
        <v>-155</v>
      </c>
      <c r="AY817" s="226">
        <v>-693.24300000000005</v>
      </c>
      <c r="CU817" s="258">
        <v>681.26700000000005</v>
      </c>
      <c r="DC817" s="194">
        <v>-39.65</v>
      </c>
      <c r="DF817" s="194">
        <v>-49.1</v>
      </c>
      <c r="DT817" s="99">
        <f t="shared" si="14"/>
        <v>0</v>
      </c>
    </row>
    <row r="818" spans="1:124" ht="93.75" hidden="1" x14ac:dyDescent="0.3">
      <c r="A818" s="143" t="s">
        <v>1074</v>
      </c>
      <c r="B818" s="58">
        <v>936</v>
      </c>
      <c r="C818" s="14" t="s">
        <v>121</v>
      </c>
      <c r="D818" s="14" t="s">
        <v>128</v>
      </c>
      <c r="E818" s="14" t="s">
        <v>973</v>
      </c>
      <c r="F818" s="44" t="s">
        <v>50</v>
      </c>
      <c r="G818" s="57">
        <f>G819</f>
        <v>0</v>
      </c>
      <c r="H818" s="116"/>
      <c r="I818" s="117"/>
      <c r="J818" s="116"/>
      <c r="K818" s="80"/>
      <c r="L818" s="79"/>
      <c r="M818" s="79"/>
      <c r="AG818" s="79"/>
      <c r="AH818" s="79"/>
      <c r="DT818" s="99">
        <f t="shared" si="14"/>
        <v>0</v>
      </c>
    </row>
    <row r="819" spans="1:124" ht="37.5" hidden="1" x14ac:dyDescent="0.3">
      <c r="A819" s="143" t="s">
        <v>425</v>
      </c>
      <c r="B819" s="58">
        <v>936</v>
      </c>
      <c r="C819" s="14" t="s">
        <v>121</v>
      </c>
      <c r="D819" s="14" t="s">
        <v>128</v>
      </c>
      <c r="E819" s="14" t="s">
        <v>973</v>
      </c>
      <c r="F819" s="44" t="s">
        <v>59</v>
      </c>
      <c r="G819" s="57">
        <v>0</v>
      </c>
      <c r="H819" s="116"/>
      <c r="I819" s="117"/>
      <c r="J819" s="116"/>
      <c r="K819" s="80"/>
      <c r="L819" s="79"/>
      <c r="M819" s="79">
        <v>129.23699999999999</v>
      </c>
      <c r="AG819" s="79"/>
      <c r="AH819" s="79"/>
      <c r="AK819" s="79">
        <v>0</v>
      </c>
      <c r="AQ819" s="151">
        <v>169.357</v>
      </c>
      <c r="CU819" s="258">
        <v>471.738</v>
      </c>
      <c r="DF819" s="194">
        <v>-132.5</v>
      </c>
      <c r="DT819" s="99">
        <f t="shared" si="14"/>
        <v>0</v>
      </c>
    </row>
    <row r="820" spans="1:124" ht="150" hidden="1" x14ac:dyDescent="0.3">
      <c r="A820" s="143" t="s">
        <v>1089</v>
      </c>
      <c r="B820" s="58">
        <v>936</v>
      </c>
      <c r="C820" s="14" t="s">
        <v>121</v>
      </c>
      <c r="D820" s="14" t="s">
        <v>128</v>
      </c>
      <c r="E820" s="44" t="s">
        <v>974</v>
      </c>
      <c r="F820" s="44" t="s">
        <v>50</v>
      </c>
      <c r="G820" s="57">
        <f>G821</f>
        <v>0</v>
      </c>
      <c r="H820" s="116"/>
      <c r="I820" s="117"/>
      <c r="J820" s="116"/>
      <c r="K820" s="80"/>
      <c r="L820" s="79"/>
      <c r="M820" s="79"/>
      <c r="AG820" s="79"/>
      <c r="AH820" s="79"/>
      <c r="DT820" s="99">
        <f t="shared" si="14"/>
        <v>0</v>
      </c>
    </row>
    <row r="821" spans="1:124" ht="37.5" hidden="1" x14ac:dyDescent="0.3">
      <c r="A821" s="143" t="s">
        <v>425</v>
      </c>
      <c r="B821" s="58">
        <v>936</v>
      </c>
      <c r="C821" s="14" t="s">
        <v>121</v>
      </c>
      <c r="D821" s="14" t="s">
        <v>128</v>
      </c>
      <c r="E821" s="44" t="s">
        <v>974</v>
      </c>
      <c r="F821" s="44" t="s">
        <v>59</v>
      </c>
      <c r="G821" s="57">
        <v>0</v>
      </c>
      <c r="H821" s="116"/>
      <c r="I821" s="117"/>
      <c r="J821" s="116"/>
      <c r="K821" s="80"/>
      <c r="L821" s="79"/>
      <c r="M821" s="79">
        <v>109.40600000000001</v>
      </c>
      <c r="AG821" s="79"/>
      <c r="AH821" s="79"/>
      <c r="AK821" s="79">
        <v>0</v>
      </c>
      <c r="AS821" s="194">
        <v>89.498000000000005</v>
      </c>
      <c r="CU821" s="258">
        <v>664.35400000000004</v>
      </c>
      <c r="DF821" s="194">
        <v>-184.6</v>
      </c>
      <c r="DT821" s="99">
        <f t="shared" si="14"/>
        <v>0</v>
      </c>
    </row>
    <row r="822" spans="1:124" ht="131.25" hidden="1" x14ac:dyDescent="0.3">
      <c r="A822" s="143" t="s">
        <v>1101</v>
      </c>
      <c r="B822" s="58">
        <v>936</v>
      </c>
      <c r="C822" s="14" t="s">
        <v>121</v>
      </c>
      <c r="D822" s="14" t="s">
        <v>128</v>
      </c>
      <c r="E822" s="44" t="s">
        <v>975</v>
      </c>
      <c r="F822" s="44" t="s">
        <v>50</v>
      </c>
      <c r="G822" s="57">
        <f>G823</f>
        <v>0</v>
      </c>
      <c r="H822" s="116"/>
      <c r="I822" s="117"/>
      <c r="J822" s="116"/>
      <c r="K822" s="80"/>
      <c r="L822" s="79"/>
      <c r="M822" s="79"/>
      <c r="AG822" s="79"/>
      <c r="AH822" s="79"/>
      <c r="DT822" s="99">
        <f t="shared" si="14"/>
        <v>0</v>
      </c>
    </row>
    <row r="823" spans="1:124" ht="37.5" hidden="1" x14ac:dyDescent="0.3">
      <c r="A823" s="143" t="s">
        <v>425</v>
      </c>
      <c r="B823" s="58">
        <v>936</v>
      </c>
      <c r="C823" s="14" t="s">
        <v>121</v>
      </c>
      <c r="D823" s="14" t="s">
        <v>128</v>
      </c>
      <c r="E823" s="44" t="s">
        <v>975</v>
      </c>
      <c r="F823" s="44" t="s">
        <v>59</v>
      </c>
      <c r="G823" s="57">
        <v>0</v>
      </c>
      <c r="H823" s="116"/>
      <c r="I823" s="117"/>
      <c r="J823" s="116"/>
      <c r="K823" s="80"/>
      <c r="L823" s="79"/>
      <c r="M823" s="79">
        <v>139.03800000000001</v>
      </c>
      <c r="AC823">
        <v>-39.214739999999999</v>
      </c>
      <c r="AG823" s="79"/>
      <c r="AH823" s="79"/>
      <c r="AK823" s="79">
        <v>0</v>
      </c>
      <c r="CU823" s="258">
        <v>1414.817</v>
      </c>
      <c r="DF823" s="194">
        <v>-351.8</v>
      </c>
      <c r="DT823" s="99">
        <f t="shared" si="14"/>
        <v>0</v>
      </c>
    </row>
    <row r="824" spans="1:124" ht="131.25" hidden="1" x14ac:dyDescent="0.3">
      <c r="A824" s="143" t="s">
        <v>1102</v>
      </c>
      <c r="B824" s="58">
        <v>936</v>
      </c>
      <c r="C824" s="14" t="s">
        <v>121</v>
      </c>
      <c r="D824" s="14" t="s">
        <v>128</v>
      </c>
      <c r="E824" s="44" t="s">
        <v>976</v>
      </c>
      <c r="F824" s="44" t="s">
        <v>50</v>
      </c>
      <c r="G824" s="57">
        <f>G825</f>
        <v>0</v>
      </c>
      <c r="H824" s="116"/>
      <c r="I824" s="117"/>
      <c r="J824" s="116"/>
      <c r="K824" s="80"/>
      <c r="L824" s="79"/>
      <c r="M824" s="79"/>
      <c r="AG824" s="79"/>
      <c r="AH824" s="79"/>
      <c r="DT824" s="99">
        <f t="shared" si="14"/>
        <v>0</v>
      </c>
    </row>
    <row r="825" spans="1:124" ht="37.5" hidden="1" x14ac:dyDescent="0.3">
      <c r="A825" s="143" t="s">
        <v>425</v>
      </c>
      <c r="B825" s="58">
        <v>936</v>
      </c>
      <c r="C825" s="14" t="s">
        <v>121</v>
      </c>
      <c r="D825" s="14" t="s">
        <v>128</v>
      </c>
      <c r="E825" s="44" t="s">
        <v>976</v>
      </c>
      <c r="F825" s="44" t="s">
        <v>59</v>
      </c>
      <c r="G825" s="57">
        <v>0</v>
      </c>
      <c r="H825" s="116"/>
      <c r="I825" s="117"/>
      <c r="J825" s="116"/>
      <c r="K825" s="80"/>
      <c r="L825" s="79"/>
      <c r="M825" s="79">
        <v>126.07599999999999</v>
      </c>
      <c r="AG825" s="79"/>
      <c r="AH825" s="79"/>
      <c r="AK825" s="79">
        <v>0</v>
      </c>
      <c r="CU825" s="258">
        <v>57.51</v>
      </c>
      <c r="DF825" s="194">
        <v>-11.1</v>
      </c>
      <c r="DT825" s="99">
        <f t="shared" si="14"/>
        <v>0</v>
      </c>
    </row>
    <row r="826" spans="1:124" ht="93.75" hidden="1" x14ac:dyDescent="0.3">
      <c r="A826" s="143" t="s">
        <v>1103</v>
      </c>
      <c r="B826" s="58">
        <v>936</v>
      </c>
      <c r="C826" s="14" t="s">
        <v>121</v>
      </c>
      <c r="D826" s="14" t="s">
        <v>128</v>
      </c>
      <c r="E826" s="44" t="s">
        <v>977</v>
      </c>
      <c r="F826" s="44" t="s">
        <v>50</v>
      </c>
      <c r="G826" s="57">
        <f>G827</f>
        <v>0</v>
      </c>
      <c r="H826" s="116"/>
      <c r="I826" s="117"/>
      <c r="J826" s="116"/>
      <c r="K826" s="80"/>
      <c r="L826" s="79"/>
      <c r="M826" s="79"/>
      <c r="AG826" s="79"/>
      <c r="AH826" s="79"/>
      <c r="DT826" s="99">
        <f t="shared" si="14"/>
        <v>0</v>
      </c>
    </row>
    <row r="827" spans="1:124" ht="37.5" hidden="1" x14ac:dyDescent="0.3">
      <c r="A827" s="143" t="s">
        <v>425</v>
      </c>
      <c r="B827" s="58">
        <v>936</v>
      </c>
      <c r="C827" s="14" t="s">
        <v>121</v>
      </c>
      <c r="D827" s="14" t="s">
        <v>128</v>
      </c>
      <c r="E827" s="44" t="s">
        <v>977</v>
      </c>
      <c r="F827" s="44" t="s">
        <v>59</v>
      </c>
      <c r="G827" s="57">
        <v>0</v>
      </c>
      <c r="H827" s="116"/>
      <c r="I827" s="117"/>
      <c r="J827" s="116"/>
      <c r="K827" s="80"/>
      <c r="L827" s="79"/>
      <c r="M827" s="79">
        <v>115.376</v>
      </c>
      <c r="AG827" s="79"/>
      <c r="AH827" s="79"/>
      <c r="AK827" s="79">
        <v>0</v>
      </c>
      <c r="CU827" s="258">
        <v>4501.8559999999998</v>
      </c>
      <c r="DF827" s="194">
        <v>-491.4</v>
      </c>
      <c r="DT827" s="99">
        <f t="shared" si="14"/>
        <v>0</v>
      </c>
    </row>
    <row r="828" spans="1:124" ht="93.75" hidden="1" x14ac:dyDescent="0.3">
      <c r="A828" s="143" t="s">
        <v>1092</v>
      </c>
      <c r="B828" s="58">
        <v>936</v>
      </c>
      <c r="C828" s="14" t="s">
        <v>121</v>
      </c>
      <c r="D828" s="14" t="s">
        <v>128</v>
      </c>
      <c r="E828" s="44" t="s">
        <v>978</v>
      </c>
      <c r="F828" s="44" t="s">
        <v>50</v>
      </c>
      <c r="G828" s="57">
        <f>G829</f>
        <v>0</v>
      </c>
      <c r="H828" s="116"/>
      <c r="I828" s="117"/>
      <c r="J828" s="116"/>
      <c r="K828" s="80"/>
      <c r="L828" s="79"/>
      <c r="M828" s="79"/>
      <c r="AG828" s="79"/>
      <c r="AH828" s="79"/>
      <c r="DT828" s="99">
        <f t="shared" si="14"/>
        <v>0</v>
      </c>
    </row>
    <row r="829" spans="1:124" ht="37.5" hidden="1" x14ac:dyDescent="0.3">
      <c r="A829" s="143" t="s">
        <v>425</v>
      </c>
      <c r="B829" s="58">
        <v>936</v>
      </c>
      <c r="C829" s="14" t="s">
        <v>121</v>
      </c>
      <c r="D829" s="14" t="s">
        <v>128</v>
      </c>
      <c r="E829" s="44" t="s">
        <v>978</v>
      </c>
      <c r="F829" s="44" t="s">
        <v>59</v>
      </c>
      <c r="G829" s="57">
        <v>0</v>
      </c>
      <c r="H829" s="116"/>
      <c r="I829" s="117"/>
      <c r="J829" s="116"/>
      <c r="K829" s="80"/>
      <c r="L829" s="79"/>
      <c r="M829" s="79"/>
      <c r="AG829" s="79"/>
      <c r="AH829" s="79"/>
      <c r="CU829" s="258">
        <v>160.91999999999999</v>
      </c>
      <c r="DF829" s="194">
        <v>-35.9</v>
      </c>
      <c r="DT829" s="99">
        <f t="shared" si="14"/>
        <v>0</v>
      </c>
    </row>
    <row r="830" spans="1:124" ht="112.5" hidden="1" x14ac:dyDescent="0.3">
      <c r="A830" s="143" t="s">
        <v>1104</v>
      </c>
      <c r="B830" s="58">
        <v>936</v>
      </c>
      <c r="C830" s="14" t="s">
        <v>121</v>
      </c>
      <c r="D830" s="14" t="s">
        <v>128</v>
      </c>
      <c r="E830" s="44" t="s">
        <v>979</v>
      </c>
      <c r="F830" s="44" t="s">
        <v>50</v>
      </c>
      <c r="G830" s="57">
        <f>G831</f>
        <v>0</v>
      </c>
      <c r="H830" s="116"/>
      <c r="I830" s="117"/>
      <c r="J830" s="116"/>
      <c r="K830" s="80"/>
      <c r="L830" s="79"/>
      <c r="M830" s="79"/>
      <c r="AG830" s="79"/>
      <c r="AH830" s="79"/>
      <c r="DT830" s="99">
        <f t="shared" si="14"/>
        <v>0</v>
      </c>
    </row>
    <row r="831" spans="1:124" ht="37.5" hidden="1" x14ac:dyDescent="0.3">
      <c r="A831" s="143" t="s">
        <v>425</v>
      </c>
      <c r="B831" s="58">
        <v>936</v>
      </c>
      <c r="C831" s="14" t="s">
        <v>121</v>
      </c>
      <c r="D831" s="14" t="s">
        <v>128</v>
      </c>
      <c r="E831" s="44" t="s">
        <v>979</v>
      </c>
      <c r="F831" s="44" t="s">
        <v>59</v>
      </c>
      <c r="G831" s="57">
        <v>0</v>
      </c>
      <c r="H831" s="116"/>
      <c r="I831" s="117"/>
      <c r="J831" s="116"/>
      <c r="K831" s="80"/>
      <c r="L831" s="79"/>
      <c r="M831" s="79"/>
      <c r="AG831" s="79"/>
      <c r="AH831" s="79"/>
      <c r="CB831" s="226">
        <v>89.498000000000005</v>
      </c>
      <c r="CU831" s="258">
        <v>140</v>
      </c>
      <c r="DF831" s="194">
        <v>-0.4</v>
      </c>
      <c r="DT831" s="99">
        <f t="shared" si="14"/>
        <v>0</v>
      </c>
    </row>
    <row r="832" spans="1:124" ht="112.5" hidden="1" x14ac:dyDescent="0.3">
      <c r="A832" s="143" t="s">
        <v>1105</v>
      </c>
      <c r="B832" s="58">
        <v>936</v>
      </c>
      <c r="C832" s="14" t="s">
        <v>121</v>
      </c>
      <c r="D832" s="14" t="s">
        <v>128</v>
      </c>
      <c r="E832" s="44" t="s">
        <v>980</v>
      </c>
      <c r="F832" s="44" t="s">
        <v>50</v>
      </c>
      <c r="G832" s="57">
        <f>G833</f>
        <v>0</v>
      </c>
      <c r="H832" s="116"/>
      <c r="I832" s="117"/>
      <c r="J832" s="116"/>
      <c r="K832" s="80"/>
      <c r="L832" s="79"/>
      <c r="M832" s="79"/>
      <c r="AG832" s="79"/>
      <c r="AH832" s="79"/>
      <c r="DT832" s="99">
        <f t="shared" si="14"/>
        <v>0</v>
      </c>
    </row>
    <row r="833" spans="1:124" ht="37.5" hidden="1" x14ac:dyDescent="0.3">
      <c r="A833" s="143" t="s">
        <v>425</v>
      </c>
      <c r="B833" s="58">
        <v>936</v>
      </c>
      <c r="C833" s="14" t="s">
        <v>121</v>
      </c>
      <c r="D833" s="14" t="s">
        <v>128</v>
      </c>
      <c r="E833" s="44" t="s">
        <v>980</v>
      </c>
      <c r="F833" s="44" t="s">
        <v>59</v>
      </c>
      <c r="G833" s="57">
        <v>0</v>
      </c>
      <c r="H833" s="116"/>
      <c r="I833" s="117"/>
      <c r="J833" s="116"/>
      <c r="K833" s="80"/>
      <c r="L833" s="79"/>
      <c r="M833" s="79"/>
      <c r="AG833" s="79"/>
      <c r="AH833" s="79"/>
      <c r="CF833" s="194">
        <v>128.09</v>
      </c>
      <c r="CU833" s="258">
        <v>226</v>
      </c>
      <c r="DF833" s="194">
        <v>-0.6</v>
      </c>
      <c r="DT833" s="99">
        <f t="shared" si="14"/>
        <v>0</v>
      </c>
    </row>
    <row r="834" spans="1:124" ht="105.75" hidden="1" customHeight="1" x14ac:dyDescent="0.3">
      <c r="A834" s="143" t="s">
        <v>882</v>
      </c>
      <c r="B834" s="58">
        <v>936</v>
      </c>
      <c r="C834" s="14" t="s">
        <v>121</v>
      </c>
      <c r="D834" s="14" t="s">
        <v>128</v>
      </c>
      <c r="E834" s="44" t="s">
        <v>1115</v>
      </c>
      <c r="F834" s="44" t="s">
        <v>50</v>
      </c>
      <c r="G834" s="57">
        <f>G835</f>
        <v>0</v>
      </c>
      <c r="H834" s="116"/>
      <c r="I834" s="117"/>
      <c r="J834" s="116"/>
      <c r="K834" s="80"/>
      <c r="L834" s="79"/>
      <c r="M834" s="79"/>
      <c r="AG834" s="79"/>
      <c r="AH834" s="79"/>
      <c r="DT834" s="99">
        <f t="shared" si="14"/>
        <v>0</v>
      </c>
    </row>
    <row r="835" spans="1:124" ht="37.5" hidden="1" x14ac:dyDescent="0.3">
      <c r="A835" s="143" t="s">
        <v>425</v>
      </c>
      <c r="B835" s="58">
        <v>936</v>
      </c>
      <c r="C835" s="14" t="s">
        <v>121</v>
      </c>
      <c r="D835" s="14" t="s">
        <v>128</v>
      </c>
      <c r="E835" s="44" t="s">
        <v>1115</v>
      </c>
      <c r="F835" s="44" t="s">
        <v>59</v>
      </c>
      <c r="G835" s="57">
        <v>0</v>
      </c>
      <c r="H835" s="116"/>
      <c r="I835" s="117"/>
      <c r="J835" s="116"/>
      <c r="K835" s="80"/>
      <c r="L835" s="79"/>
      <c r="M835" s="79"/>
      <c r="AG835" s="79"/>
      <c r="AH835" s="79"/>
      <c r="CV835" s="268">
        <v>892</v>
      </c>
      <c r="DC835" s="194">
        <v>137.75</v>
      </c>
      <c r="DT835" s="99">
        <f t="shared" si="14"/>
        <v>0</v>
      </c>
    </row>
    <row r="836" spans="1:124" hidden="1" x14ac:dyDescent="0.3">
      <c r="A836" s="143" t="s">
        <v>62</v>
      </c>
      <c r="B836" s="13">
        <v>936</v>
      </c>
      <c r="C836" s="14" t="s">
        <v>121</v>
      </c>
      <c r="D836" s="14" t="s">
        <v>128</v>
      </c>
      <c r="E836" s="14" t="s">
        <v>251</v>
      </c>
      <c r="F836" s="14" t="s">
        <v>50</v>
      </c>
      <c r="G836" s="57">
        <f>G837+G839+G841+G843+G845+G847+G849+G851+G862+G864+G853+G855</f>
        <v>0</v>
      </c>
      <c r="H836" s="116"/>
      <c r="I836" s="117"/>
      <c r="J836" s="116"/>
      <c r="K836" s="80"/>
      <c r="L836" s="79"/>
      <c r="M836" s="79"/>
      <c r="AG836" s="79"/>
      <c r="AH836" s="79"/>
      <c r="DT836" s="99">
        <f t="shared" si="14"/>
        <v>0</v>
      </c>
    </row>
    <row r="837" spans="1:124" ht="75.95" hidden="1" customHeight="1" x14ac:dyDescent="0.3">
      <c r="A837" s="143" t="s">
        <v>1106</v>
      </c>
      <c r="B837" s="58">
        <v>936</v>
      </c>
      <c r="C837" s="14" t="s">
        <v>121</v>
      </c>
      <c r="D837" s="14" t="s">
        <v>128</v>
      </c>
      <c r="E837" s="14" t="s">
        <v>826</v>
      </c>
      <c r="F837" s="44" t="s">
        <v>50</v>
      </c>
      <c r="G837" s="57">
        <f>G838</f>
        <v>0</v>
      </c>
      <c r="H837" s="116"/>
      <c r="I837" s="117"/>
      <c r="J837" s="116"/>
      <c r="K837" s="80"/>
      <c r="L837" s="79"/>
      <c r="M837" s="79"/>
      <c r="AG837" s="79"/>
      <c r="AH837" s="79"/>
      <c r="DT837" s="99">
        <f t="shared" si="14"/>
        <v>0</v>
      </c>
    </row>
    <row r="838" spans="1:124" ht="37.5" hidden="1" x14ac:dyDescent="0.3">
      <c r="A838" s="143" t="s">
        <v>425</v>
      </c>
      <c r="B838" s="58">
        <v>936</v>
      </c>
      <c r="C838" s="14" t="s">
        <v>121</v>
      </c>
      <c r="D838" s="14" t="s">
        <v>128</v>
      </c>
      <c r="E838" s="14" t="s">
        <v>826</v>
      </c>
      <c r="F838" s="44" t="s">
        <v>59</v>
      </c>
      <c r="G838" s="57">
        <v>0</v>
      </c>
      <c r="H838" s="116"/>
      <c r="I838" s="117"/>
      <c r="J838" s="116"/>
      <c r="K838" s="80"/>
      <c r="L838" s="79"/>
      <c r="M838" s="79">
        <v>169</v>
      </c>
      <c r="AG838" s="79"/>
      <c r="AH838" s="79"/>
      <c r="AK838" s="79">
        <v>0</v>
      </c>
      <c r="AQ838" s="151">
        <v>460</v>
      </c>
      <c r="CU838" s="258">
        <v>230</v>
      </c>
      <c r="DT838" s="99">
        <f t="shared" si="14"/>
        <v>0</v>
      </c>
    </row>
    <row r="839" spans="1:124" ht="112.5" hidden="1" x14ac:dyDescent="0.3">
      <c r="A839" s="143" t="s">
        <v>1056</v>
      </c>
      <c r="B839" s="58">
        <v>936</v>
      </c>
      <c r="C839" s="14" t="s">
        <v>121</v>
      </c>
      <c r="D839" s="14" t="s">
        <v>128</v>
      </c>
      <c r="E839" s="14" t="s">
        <v>985</v>
      </c>
      <c r="F839" s="44" t="s">
        <v>50</v>
      </c>
      <c r="G839" s="57">
        <f>G840</f>
        <v>0</v>
      </c>
      <c r="H839" s="116"/>
      <c r="I839" s="117"/>
      <c r="J839" s="116"/>
      <c r="K839" s="80"/>
      <c r="L839" s="79"/>
      <c r="M839" s="79"/>
      <c r="AG839" s="79"/>
      <c r="AH839" s="79"/>
      <c r="DT839" s="99">
        <f t="shared" si="14"/>
        <v>0</v>
      </c>
    </row>
    <row r="840" spans="1:124" ht="37.5" hidden="1" x14ac:dyDescent="0.3">
      <c r="A840" s="143" t="s">
        <v>425</v>
      </c>
      <c r="B840" s="58">
        <v>936</v>
      </c>
      <c r="C840" s="14" t="s">
        <v>121</v>
      </c>
      <c r="D840" s="14" t="s">
        <v>128</v>
      </c>
      <c r="E840" s="14" t="s">
        <v>985</v>
      </c>
      <c r="F840" s="44" t="s">
        <v>59</v>
      </c>
      <c r="G840" s="57">
        <v>0</v>
      </c>
      <c r="H840" s="116"/>
      <c r="I840" s="117"/>
      <c r="J840" s="116"/>
      <c r="K840" s="80"/>
      <c r="L840" s="79"/>
      <c r="M840" s="79">
        <v>296</v>
      </c>
      <c r="AG840" s="79"/>
      <c r="AH840" s="79"/>
      <c r="AK840" s="79">
        <v>0</v>
      </c>
      <c r="AQ840" s="151">
        <v>550</v>
      </c>
      <c r="CU840" s="258">
        <v>400</v>
      </c>
      <c r="DT840" s="99">
        <f t="shared" si="14"/>
        <v>0</v>
      </c>
    </row>
    <row r="841" spans="1:124" ht="75" hidden="1" x14ac:dyDescent="0.3">
      <c r="A841" s="143" t="s">
        <v>1057</v>
      </c>
      <c r="B841" s="58">
        <v>936</v>
      </c>
      <c r="C841" s="14" t="s">
        <v>121</v>
      </c>
      <c r="D841" s="14" t="s">
        <v>128</v>
      </c>
      <c r="E841" s="44" t="s">
        <v>986</v>
      </c>
      <c r="F841" s="44" t="s">
        <v>50</v>
      </c>
      <c r="G841" s="57">
        <f>G842</f>
        <v>0</v>
      </c>
      <c r="H841" s="116"/>
      <c r="I841" s="117"/>
      <c r="J841" s="116"/>
      <c r="K841" s="80"/>
      <c r="L841" s="79"/>
      <c r="M841" s="79"/>
      <c r="AG841" s="79"/>
      <c r="AH841" s="79"/>
      <c r="DT841" s="99">
        <f t="shared" si="14"/>
        <v>0</v>
      </c>
    </row>
    <row r="842" spans="1:124" ht="37.5" hidden="1" x14ac:dyDescent="0.3">
      <c r="A842" s="143" t="s">
        <v>425</v>
      </c>
      <c r="B842" s="58">
        <v>936</v>
      </c>
      <c r="C842" s="14" t="s">
        <v>121</v>
      </c>
      <c r="D842" s="14" t="s">
        <v>128</v>
      </c>
      <c r="E842" s="44" t="s">
        <v>986</v>
      </c>
      <c r="F842" s="44" t="s">
        <v>59</v>
      </c>
      <c r="G842" s="57">
        <v>0</v>
      </c>
      <c r="H842" s="116"/>
      <c r="I842" s="117"/>
      <c r="J842" s="116"/>
      <c r="K842" s="80"/>
      <c r="L842" s="79"/>
      <c r="M842" s="79">
        <v>208</v>
      </c>
      <c r="AG842" s="79"/>
      <c r="AH842" s="79"/>
      <c r="AK842" s="79">
        <v>0</v>
      </c>
      <c r="AQ842" s="151">
        <v>225</v>
      </c>
      <c r="CU842" s="258">
        <v>305</v>
      </c>
      <c r="DT842" s="99">
        <f t="shared" ref="DT842:DT905" si="15">DN842+DO842+DP842+DQ842+DR842+DS842</f>
        <v>0</v>
      </c>
    </row>
    <row r="843" spans="1:124" ht="112.5" hidden="1" x14ac:dyDescent="0.3">
      <c r="A843" s="143" t="s">
        <v>1107</v>
      </c>
      <c r="B843" s="58">
        <v>936</v>
      </c>
      <c r="C843" s="14" t="s">
        <v>121</v>
      </c>
      <c r="D843" s="14" t="s">
        <v>128</v>
      </c>
      <c r="E843" s="44" t="s">
        <v>987</v>
      </c>
      <c r="F843" s="44" t="s">
        <v>50</v>
      </c>
      <c r="G843" s="57">
        <f>G844</f>
        <v>0</v>
      </c>
      <c r="H843" s="116"/>
      <c r="I843" s="117"/>
      <c r="J843" s="116"/>
      <c r="K843" s="80"/>
      <c r="L843" s="79"/>
      <c r="M843" s="79"/>
      <c r="AG843" s="79"/>
      <c r="AH843" s="79"/>
      <c r="DT843" s="99">
        <f t="shared" si="15"/>
        <v>0</v>
      </c>
    </row>
    <row r="844" spans="1:124" ht="37.5" hidden="1" x14ac:dyDescent="0.3">
      <c r="A844" s="143" t="s">
        <v>425</v>
      </c>
      <c r="B844" s="58">
        <v>936</v>
      </c>
      <c r="C844" s="14" t="s">
        <v>121</v>
      </c>
      <c r="D844" s="14" t="s">
        <v>128</v>
      </c>
      <c r="E844" s="44" t="s">
        <v>987</v>
      </c>
      <c r="F844" s="44" t="s">
        <v>59</v>
      </c>
      <c r="G844" s="57">
        <v>0</v>
      </c>
      <c r="H844" s="116"/>
      <c r="I844" s="117"/>
      <c r="J844" s="116"/>
      <c r="K844" s="80"/>
      <c r="L844" s="79"/>
      <c r="M844" s="79">
        <v>170</v>
      </c>
      <c r="AG844" s="79"/>
      <c r="AH844" s="79"/>
      <c r="AK844" s="79">
        <v>0</v>
      </c>
      <c r="AS844" s="194">
        <v>137.184</v>
      </c>
      <c r="CU844" s="258">
        <v>357</v>
      </c>
      <c r="DT844" s="99">
        <f t="shared" si="15"/>
        <v>0</v>
      </c>
    </row>
    <row r="845" spans="1:124" ht="93.75" hidden="1" x14ac:dyDescent="0.3">
      <c r="A845" s="143" t="s">
        <v>1059</v>
      </c>
      <c r="B845" s="58">
        <v>936</v>
      </c>
      <c r="C845" s="14" t="s">
        <v>121</v>
      </c>
      <c r="D845" s="14" t="s">
        <v>128</v>
      </c>
      <c r="E845" s="44" t="s">
        <v>988</v>
      </c>
      <c r="F845" s="44" t="s">
        <v>50</v>
      </c>
      <c r="G845" s="57">
        <f>G846</f>
        <v>0</v>
      </c>
      <c r="H845" s="116"/>
      <c r="I845" s="117"/>
      <c r="J845" s="116"/>
      <c r="K845" s="80"/>
      <c r="L845" s="79"/>
      <c r="M845" s="79"/>
      <c r="AG845" s="79"/>
      <c r="AH845" s="79"/>
      <c r="DT845" s="99">
        <f t="shared" si="15"/>
        <v>0</v>
      </c>
    </row>
    <row r="846" spans="1:124" ht="37.5" hidden="1" x14ac:dyDescent="0.3">
      <c r="A846" s="143" t="s">
        <v>425</v>
      </c>
      <c r="B846" s="58">
        <v>936</v>
      </c>
      <c r="C846" s="14" t="s">
        <v>121</v>
      </c>
      <c r="D846" s="14" t="s">
        <v>128</v>
      </c>
      <c r="E846" s="44" t="s">
        <v>988</v>
      </c>
      <c r="F846" s="44" t="s">
        <v>59</v>
      </c>
      <c r="G846" s="57">
        <v>0</v>
      </c>
      <c r="H846" s="116"/>
      <c r="I846" s="117"/>
      <c r="J846" s="116"/>
      <c r="K846" s="80"/>
      <c r="L846" s="79"/>
      <c r="M846" s="79">
        <v>185</v>
      </c>
      <c r="AG846" s="79"/>
      <c r="AH846" s="79"/>
      <c r="AK846" s="79">
        <v>0</v>
      </c>
      <c r="CU846" s="258">
        <v>326</v>
      </c>
      <c r="DT846" s="99">
        <f t="shared" si="15"/>
        <v>0</v>
      </c>
    </row>
    <row r="847" spans="1:124" ht="112.5" hidden="1" x14ac:dyDescent="0.3">
      <c r="A847" s="143" t="s">
        <v>1108</v>
      </c>
      <c r="B847" s="58">
        <v>936</v>
      </c>
      <c r="C847" s="14" t="s">
        <v>121</v>
      </c>
      <c r="D847" s="14" t="s">
        <v>128</v>
      </c>
      <c r="E847" s="44" t="s">
        <v>989</v>
      </c>
      <c r="F847" s="44" t="s">
        <v>50</v>
      </c>
      <c r="G847" s="57">
        <f>G848</f>
        <v>0</v>
      </c>
      <c r="H847" s="116"/>
      <c r="I847" s="117"/>
      <c r="J847" s="116"/>
      <c r="K847" s="80"/>
      <c r="L847" s="79"/>
      <c r="M847" s="79"/>
      <c r="AG847" s="79"/>
      <c r="AH847" s="79"/>
      <c r="DT847" s="99">
        <f t="shared" si="15"/>
        <v>0</v>
      </c>
    </row>
    <row r="848" spans="1:124" ht="37.5" hidden="1" x14ac:dyDescent="0.3">
      <c r="A848" s="143" t="s">
        <v>425</v>
      </c>
      <c r="B848" s="58">
        <v>936</v>
      </c>
      <c r="C848" s="14" t="s">
        <v>121</v>
      </c>
      <c r="D848" s="14" t="s">
        <v>128</v>
      </c>
      <c r="E848" s="44" t="s">
        <v>989</v>
      </c>
      <c r="F848" s="44" t="s">
        <v>59</v>
      </c>
      <c r="G848" s="57">
        <v>0</v>
      </c>
      <c r="H848" s="116"/>
      <c r="I848" s="117"/>
      <c r="J848" s="116"/>
      <c r="K848" s="80"/>
      <c r="L848" s="79"/>
      <c r="M848" s="79">
        <v>203</v>
      </c>
      <c r="AG848" s="79"/>
      <c r="AH848" s="79"/>
      <c r="AK848" s="79">
        <v>0</v>
      </c>
      <c r="CU848" s="258">
        <v>141</v>
      </c>
      <c r="DT848" s="99">
        <f t="shared" si="15"/>
        <v>0</v>
      </c>
    </row>
    <row r="849" spans="1:124" ht="56.25" hidden="1" x14ac:dyDescent="0.3">
      <c r="A849" s="143" t="s">
        <v>1061</v>
      </c>
      <c r="B849" s="58">
        <v>936</v>
      </c>
      <c r="C849" s="14" t="s">
        <v>121</v>
      </c>
      <c r="D849" s="14" t="s">
        <v>128</v>
      </c>
      <c r="E849" s="44" t="s">
        <v>990</v>
      </c>
      <c r="F849" s="44" t="s">
        <v>50</v>
      </c>
      <c r="G849" s="57">
        <f>G850</f>
        <v>0</v>
      </c>
      <c r="H849" s="116"/>
      <c r="I849" s="117"/>
      <c r="J849" s="116"/>
      <c r="K849" s="80"/>
      <c r="L849" s="79"/>
      <c r="M849" s="79"/>
      <c r="AG849" s="79"/>
      <c r="AH849" s="79"/>
      <c r="DT849" s="99">
        <f t="shared" si="15"/>
        <v>0</v>
      </c>
    </row>
    <row r="850" spans="1:124" ht="37.5" hidden="1" x14ac:dyDescent="0.3">
      <c r="A850" s="143" t="s">
        <v>425</v>
      </c>
      <c r="B850" s="58">
        <v>936</v>
      </c>
      <c r="C850" s="14" t="s">
        <v>121</v>
      </c>
      <c r="D850" s="14" t="s">
        <v>128</v>
      </c>
      <c r="E850" s="44" t="s">
        <v>990</v>
      </c>
      <c r="F850" s="44" t="s">
        <v>59</v>
      </c>
      <c r="G850" s="57">
        <v>0</v>
      </c>
      <c r="H850" s="116"/>
      <c r="I850" s="117"/>
      <c r="J850" s="116"/>
      <c r="K850" s="80"/>
      <c r="L850" s="79"/>
      <c r="M850" s="79">
        <v>236</v>
      </c>
      <c r="AG850" s="79"/>
      <c r="AH850" s="79"/>
      <c r="AK850" s="79">
        <v>0</v>
      </c>
      <c r="CU850" s="258">
        <v>843</v>
      </c>
      <c r="DT850" s="99">
        <f t="shared" si="15"/>
        <v>0</v>
      </c>
    </row>
    <row r="851" spans="1:124" ht="75" hidden="1" x14ac:dyDescent="0.3">
      <c r="A851" s="143" t="s">
        <v>1062</v>
      </c>
      <c r="B851" s="58">
        <v>936</v>
      </c>
      <c r="C851" s="14" t="s">
        <v>121</v>
      </c>
      <c r="D851" s="14" t="s">
        <v>128</v>
      </c>
      <c r="E851" s="44" t="s">
        <v>991</v>
      </c>
      <c r="F851" s="44" t="s">
        <v>50</v>
      </c>
      <c r="G851" s="57">
        <f>G852</f>
        <v>0</v>
      </c>
      <c r="H851" s="116"/>
      <c r="I851" s="117"/>
      <c r="J851" s="116"/>
      <c r="K851" s="80"/>
      <c r="L851" s="79"/>
      <c r="M851" s="79"/>
      <c r="AG851" s="79"/>
      <c r="AH851" s="79"/>
      <c r="DT851" s="99">
        <f t="shared" si="15"/>
        <v>0</v>
      </c>
    </row>
    <row r="852" spans="1:124" ht="37.5" hidden="1" x14ac:dyDescent="0.3">
      <c r="A852" s="143" t="s">
        <v>425</v>
      </c>
      <c r="B852" s="58">
        <v>936</v>
      </c>
      <c r="C852" s="14" t="s">
        <v>121</v>
      </c>
      <c r="D852" s="14" t="s">
        <v>128</v>
      </c>
      <c r="E852" s="44" t="s">
        <v>991</v>
      </c>
      <c r="F852" s="44" t="s">
        <v>59</v>
      </c>
      <c r="G852" s="57">
        <v>0</v>
      </c>
      <c r="H852" s="116"/>
      <c r="I852" s="117"/>
      <c r="J852" s="116"/>
      <c r="K852" s="80"/>
      <c r="L852" s="79"/>
      <c r="M852" s="79"/>
      <c r="AG852" s="79"/>
      <c r="AH852" s="79"/>
      <c r="CU852" s="258">
        <v>185</v>
      </c>
      <c r="DT852" s="99">
        <f t="shared" si="15"/>
        <v>0</v>
      </c>
    </row>
    <row r="853" spans="1:124" ht="93.75" hidden="1" x14ac:dyDescent="0.3">
      <c r="A853" s="143" t="s">
        <v>1063</v>
      </c>
      <c r="B853" s="58">
        <v>936</v>
      </c>
      <c r="C853" s="14" t="s">
        <v>121</v>
      </c>
      <c r="D853" s="14" t="s">
        <v>128</v>
      </c>
      <c r="E853" s="44" t="s">
        <v>992</v>
      </c>
      <c r="F853" s="44" t="s">
        <v>50</v>
      </c>
      <c r="G853" s="57">
        <f>G854</f>
        <v>0</v>
      </c>
      <c r="H853" s="116"/>
      <c r="I853" s="117"/>
      <c r="J853" s="116"/>
      <c r="K853" s="80"/>
      <c r="L853" s="79"/>
      <c r="M853" s="79"/>
      <c r="AG853" s="79"/>
      <c r="AH853" s="79"/>
      <c r="DT853" s="99">
        <f t="shared" si="15"/>
        <v>0</v>
      </c>
    </row>
    <row r="854" spans="1:124" ht="37.5" hidden="1" x14ac:dyDescent="0.3">
      <c r="A854" s="143" t="s">
        <v>425</v>
      </c>
      <c r="B854" s="58">
        <v>936</v>
      </c>
      <c r="C854" s="14" t="s">
        <v>121</v>
      </c>
      <c r="D854" s="14" t="s">
        <v>128</v>
      </c>
      <c r="E854" s="44" t="s">
        <v>992</v>
      </c>
      <c r="F854" s="44" t="s">
        <v>59</v>
      </c>
      <c r="G854" s="57">
        <v>0</v>
      </c>
      <c r="H854" s="116"/>
      <c r="I854" s="117"/>
      <c r="J854" s="116"/>
      <c r="K854" s="80"/>
      <c r="L854" s="79"/>
      <c r="M854" s="79"/>
      <c r="AG854" s="79"/>
      <c r="AH854" s="79"/>
      <c r="CU854" s="258">
        <v>253.10499999999999</v>
      </c>
      <c r="DT854" s="99">
        <f t="shared" si="15"/>
        <v>0</v>
      </c>
    </row>
    <row r="855" spans="1:124" ht="75" hidden="1" x14ac:dyDescent="0.3">
      <c r="A855" s="143" t="s">
        <v>1064</v>
      </c>
      <c r="B855" s="58">
        <v>936</v>
      </c>
      <c r="C855" s="14" t="s">
        <v>121</v>
      </c>
      <c r="D855" s="14" t="s">
        <v>128</v>
      </c>
      <c r="E855" s="44" t="s">
        <v>993</v>
      </c>
      <c r="F855" s="44" t="s">
        <v>50</v>
      </c>
      <c r="G855" s="57">
        <f>G856</f>
        <v>0</v>
      </c>
      <c r="H855" s="116"/>
      <c r="I855" s="117"/>
      <c r="J855" s="116"/>
      <c r="K855" s="80"/>
      <c r="L855" s="79"/>
      <c r="M855" s="79"/>
      <c r="AG855" s="79"/>
      <c r="AH855" s="79"/>
      <c r="DT855" s="99">
        <f t="shared" si="15"/>
        <v>0</v>
      </c>
    </row>
    <row r="856" spans="1:124" ht="37.5" hidden="1" x14ac:dyDescent="0.3">
      <c r="A856" s="143" t="s">
        <v>425</v>
      </c>
      <c r="B856" s="58">
        <v>936</v>
      </c>
      <c r="C856" s="14" t="s">
        <v>121</v>
      </c>
      <c r="D856" s="14" t="s">
        <v>128</v>
      </c>
      <c r="E856" s="44" t="s">
        <v>993</v>
      </c>
      <c r="F856" s="44" t="s">
        <v>59</v>
      </c>
      <c r="G856" s="57">
        <v>0</v>
      </c>
      <c r="H856" s="116"/>
      <c r="I856" s="117"/>
      <c r="J856" s="116"/>
      <c r="K856" s="80"/>
      <c r="L856" s="79"/>
      <c r="M856" s="79"/>
      <c r="AG856" s="79"/>
      <c r="AH856" s="79"/>
      <c r="CU856" s="258">
        <v>532.18600000000004</v>
      </c>
      <c r="DT856" s="99">
        <f t="shared" si="15"/>
        <v>0</v>
      </c>
    </row>
    <row r="857" spans="1:124" ht="44.25" hidden="1" customHeight="1" x14ac:dyDescent="0.3">
      <c r="A857" s="156" t="s">
        <v>12</v>
      </c>
      <c r="B857" s="13">
        <v>936</v>
      </c>
      <c r="C857" s="14" t="s">
        <v>121</v>
      </c>
      <c r="D857" s="14" t="s">
        <v>128</v>
      </c>
      <c r="E857" s="15" t="s">
        <v>102</v>
      </c>
      <c r="F857" s="14" t="s">
        <v>50</v>
      </c>
      <c r="G857" s="57">
        <f>G858</f>
        <v>0</v>
      </c>
      <c r="H857" s="116"/>
      <c r="I857" s="117"/>
      <c r="J857" s="116"/>
      <c r="K857" s="80"/>
      <c r="L857" s="79"/>
      <c r="M857" s="79"/>
      <c r="AG857" s="79"/>
      <c r="AH857" s="79"/>
      <c r="AK857" s="79">
        <v>0</v>
      </c>
      <c r="DT857" s="99">
        <f t="shared" si="15"/>
        <v>0</v>
      </c>
    </row>
    <row r="858" spans="1:124" ht="37.5" hidden="1" x14ac:dyDescent="0.3">
      <c r="A858" s="181" t="s">
        <v>401</v>
      </c>
      <c r="B858" s="49">
        <v>936</v>
      </c>
      <c r="C858" s="14" t="s">
        <v>121</v>
      </c>
      <c r="D858" s="14" t="s">
        <v>128</v>
      </c>
      <c r="E858" s="44" t="s">
        <v>353</v>
      </c>
      <c r="F858" s="20" t="s">
        <v>50</v>
      </c>
      <c r="G858" s="57">
        <f>G859</f>
        <v>0</v>
      </c>
      <c r="H858" s="116"/>
      <c r="I858" s="117"/>
      <c r="J858" s="116"/>
      <c r="K858" s="80"/>
      <c r="L858" s="79"/>
      <c r="M858" s="79"/>
      <c r="AG858" s="79"/>
      <c r="AH858" s="79"/>
      <c r="DT858" s="99">
        <f t="shared" si="15"/>
        <v>0</v>
      </c>
    </row>
    <row r="859" spans="1:124" ht="37.5" hidden="1" x14ac:dyDescent="0.3">
      <c r="A859" s="181" t="s">
        <v>402</v>
      </c>
      <c r="B859" s="49">
        <v>936</v>
      </c>
      <c r="C859" s="14" t="s">
        <v>121</v>
      </c>
      <c r="D859" s="14" t="s">
        <v>128</v>
      </c>
      <c r="E859" s="44" t="s">
        <v>354</v>
      </c>
      <c r="F859" s="20" t="s">
        <v>50</v>
      </c>
      <c r="G859" s="57">
        <f>G860</f>
        <v>0</v>
      </c>
      <c r="H859" s="116"/>
      <c r="I859" s="117"/>
      <c r="J859" s="116"/>
      <c r="K859" s="80"/>
      <c r="L859" s="79"/>
      <c r="M859" s="79"/>
      <c r="AG859" s="79"/>
      <c r="AH859" s="79"/>
      <c r="DT859" s="99">
        <f t="shared" si="15"/>
        <v>0</v>
      </c>
    </row>
    <row r="860" spans="1:124" ht="37.5" hidden="1" x14ac:dyDescent="0.3">
      <c r="A860" s="163" t="s">
        <v>352</v>
      </c>
      <c r="B860" s="49">
        <v>936</v>
      </c>
      <c r="C860" s="14" t="s">
        <v>121</v>
      </c>
      <c r="D860" s="14" t="s">
        <v>128</v>
      </c>
      <c r="E860" s="44" t="s">
        <v>355</v>
      </c>
      <c r="F860" s="44" t="s">
        <v>50</v>
      </c>
      <c r="G860" s="57">
        <f>G861</f>
        <v>0</v>
      </c>
      <c r="H860" s="116"/>
      <c r="I860" s="117"/>
      <c r="J860" s="116"/>
      <c r="K860" s="80"/>
      <c r="L860" s="79"/>
      <c r="M860" s="79"/>
      <c r="AG860" s="79"/>
      <c r="AH860" s="79"/>
      <c r="DT860" s="99">
        <f t="shared" si="15"/>
        <v>0</v>
      </c>
    </row>
    <row r="861" spans="1:124" ht="37.5" hidden="1" x14ac:dyDescent="0.3">
      <c r="A861" s="143" t="s">
        <v>425</v>
      </c>
      <c r="B861" s="58">
        <v>936</v>
      </c>
      <c r="C861" s="14" t="s">
        <v>121</v>
      </c>
      <c r="D861" s="14" t="s">
        <v>128</v>
      </c>
      <c r="E861" s="44" t="s">
        <v>355</v>
      </c>
      <c r="F861" s="44" t="s">
        <v>59</v>
      </c>
      <c r="G861" s="57">
        <v>0</v>
      </c>
      <c r="H861" s="116"/>
      <c r="I861" s="117"/>
      <c r="J861" s="116"/>
      <c r="K861" s="80"/>
      <c r="L861" s="79"/>
      <c r="M861" s="79"/>
      <c r="AG861" s="79"/>
      <c r="AH861" s="79"/>
      <c r="AK861" s="79">
        <v>0</v>
      </c>
      <c r="DT861" s="99">
        <f t="shared" si="15"/>
        <v>0</v>
      </c>
    </row>
    <row r="862" spans="1:124" ht="75" hidden="1" x14ac:dyDescent="0.3">
      <c r="A862" s="143" t="s">
        <v>893</v>
      </c>
      <c r="B862" s="58">
        <v>936</v>
      </c>
      <c r="C862" s="14" t="s">
        <v>121</v>
      </c>
      <c r="D862" s="14" t="s">
        <v>128</v>
      </c>
      <c r="E862" s="44" t="s">
        <v>894</v>
      </c>
      <c r="F862" s="14" t="s">
        <v>50</v>
      </c>
      <c r="G862" s="57">
        <f>G863</f>
        <v>0</v>
      </c>
      <c r="H862" s="116"/>
      <c r="I862" s="117"/>
      <c r="J862" s="116"/>
      <c r="K862" s="80"/>
      <c r="L862" s="79"/>
      <c r="M862" s="79"/>
      <c r="AG862" s="79"/>
      <c r="AH862" s="79"/>
      <c r="DT862" s="99">
        <f t="shared" si="15"/>
        <v>0</v>
      </c>
    </row>
    <row r="863" spans="1:124" ht="37.5" hidden="1" x14ac:dyDescent="0.3">
      <c r="A863" s="143" t="s">
        <v>425</v>
      </c>
      <c r="B863" s="58">
        <v>936</v>
      </c>
      <c r="C863" s="14" t="s">
        <v>121</v>
      </c>
      <c r="D863" s="14" t="s">
        <v>128</v>
      </c>
      <c r="E863" s="44" t="s">
        <v>894</v>
      </c>
      <c r="F863" s="14" t="s">
        <v>59</v>
      </c>
      <c r="G863" s="57">
        <v>0</v>
      </c>
      <c r="H863" s="116"/>
      <c r="I863" s="117"/>
      <c r="J863" s="116"/>
      <c r="K863" s="80"/>
      <c r="L863" s="79"/>
      <c r="M863" s="79"/>
      <c r="AG863" s="79"/>
      <c r="AH863" s="79"/>
      <c r="CB863" s="226">
        <v>137.184</v>
      </c>
      <c r="DT863" s="99">
        <f t="shared" si="15"/>
        <v>0</v>
      </c>
    </row>
    <row r="864" spans="1:124" ht="75" hidden="1" x14ac:dyDescent="0.3">
      <c r="A864" s="143" t="s">
        <v>914</v>
      </c>
      <c r="B864" s="58">
        <v>936</v>
      </c>
      <c r="C864" s="14" t="s">
        <v>121</v>
      </c>
      <c r="D864" s="14" t="s">
        <v>128</v>
      </c>
      <c r="E864" s="44" t="s">
        <v>913</v>
      </c>
      <c r="F864" s="14" t="s">
        <v>50</v>
      </c>
      <c r="G864" s="57">
        <f>G865</f>
        <v>0</v>
      </c>
      <c r="H864" s="116"/>
      <c r="I864" s="117"/>
      <c r="J864" s="116"/>
      <c r="K864" s="80"/>
      <c r="L864" s="79"/>
      <c r="M864" s="79"/>
      <c r="AG864" s="79"/>
      <c r="AH864" s="79"/>
      <c r="DT864" s="99">
        <f t="shared" si="15"/>
        <v>0</v>
      </c>
    </row>
    <row r="865" spans="1:124" ht="37.5" hidden="1" x14ac:dyDescent="0.3">
      <c r="A865" s="143" t="s">
        <v>425</v>
      </c>
      <c r="B865" s="58">
        <v>936</v>
      </c>
      <c r="C865" s="14" t="s">
        <v>121</v>
      </c>
      <c r="D865" s="14" t="s">
        <v>128</v>
      </c>
      <c r="E865" s="44" t="s">
        <v>913</v>
      </c>
      <c r="F865" s="14" t="s">
        <v>59</v>
      </c>
      <c r="G865" s="57">
        <v>0</v>
      </c>
      <c r="H865" s="116"/>
      <c r="I865" s="117"/>
      <c r="J865" s="116"/>
      <c r="K865" s="80"/>
      <c r="L865" s="79"/>
      <c r="M865" s="79"/>
      <c r="AG865" s="79"/>
      <c r="AH865" s="79"/>
      <c r="CF865" s="194">
        <v>130</v>
      </c>
      <c r="DT865" s="99">
        <f t="shared" si="15"/>
        <v>0</v>
      </c>
    </row>
    <row r="866" spans="1:124" ht="37.5" x14ac:dyDescent="0.3">
      <c r="A866" s="155" t="s">
        <v>258</v>
      </c>
      <c r="B866" s="12">
        <v>936</v>
      </c>
      <c r="C866" s="9" t="s">
        <v>121</v>
      </c>
      <c r="D866" s="19">
        <v>12</v>
      </c>
      <c r="E866" s="12" t="s">
        <v>49</v>
      </c>
      <c r="F866" s="9" t="s">
        <v>50</v>
      </c>
      <c r="G866" s="68">
        <f>G868+G882+G867</f>
        <v>200</v>
      </c>
      <c r="H866" s="116"/>
      <c r="I866" s="117"/>
      <c r="J866" s="116"/>
      <c r="K866" s="80"/>
      <c r="L866" s="79"/>
      <c r="M866" s="79"/>
      <c r="AG866" s="79"/>
      <c r="AH866" s="79"/>
      <c r="DT866" s="99">
        <f t="shared" si="15"/>
        <v>0</v>
      </c>
    </row>
    <row r="867" spans="1:124" ht="47.25" hidden="1" customHeight="1" x14ac:dyDescent="0.3">
      <c r="A867" s="156" t="s">
        <v>12</v>
      </c>
      <c r="B867" s="28">
        <v>936</v>
      </c>
      <c r="C867" s="29" t="s">
        <v>121</v>
      </c>
      <c r="D867" s="30" t="s">
        <v>259</v>
      </c>
      <c r="E867" s="6" t="s">
        <v>102</v>
      </c>
      <c r="F867" s="14" t="s">
        <v>50</v>
      </c>
      <c r="G867" s="57">
        <f>G878</f>
        <v>0</v>
      </c>
      <c r="H867" s="116"/>
      <c r="I867" s="117"/>
      <c r="J867" s="116"/>
      <c r="K867" s="80"/>
      <c r="L867" s="79"/>
      <c r="M867" s="79"/>
      <c r="AG867" s="79"/>
      <c r="AH867" s="79"/>
      <c r="DT867" s="99">
        <f t="shared" si="15"/>
        <v>0</v>
      </c>
    </row>
    <row r="868" spans="1:124" ht="59.25" hidden="1" customHeight="1" outlineLevel="1" x14ac:dyDescent="0.3">
      <c r="A868" s="156" t="s">
        <v>13</v>
      </c>
      <c r="B868" s="13">
        <v>936</v>
      </c>
      <c r="C868" s="14" t="s">
        <v>121</v>
      </c>
      <c r="D868" s="6">
        <v>12</v>
      </c>
      <c r="E868" s="15" t="s">
        <v>135</v>
      </c>
      <c r="F868" s="14" t="s">
        <v>50</v>
      </c>
      <c r="G868" s="57">
        <f>G869+G874</f>
        <v>0</v>
      </c>
      <c r="H868" s="116"/>
      <c r="I868" s="117"/>
      <c r="J868" s="116"/>
      <c r="K868" s="80"/>
      <c r="L868" s="79"/>
      <c r="M868" s="79"/>
      <c r="AG868" s="79"/>
      <c r="AH868" s="79"/>
      <c r="DT868" s="99">
        <f t="shared" si="15"/>
        <v>0</v>
      </c>
    </row>
    <row r="869" spans="1:124" ht="37.5" hidden="1" outlineLevel="2" x14ac:dyDescent="0.3">
      <c r="A869" s="156" t="s">
        <v>15</v>
      </c>
      <c r="B869" s="13">
        <v>936</v>
      </c>
      <c r="C869" s="14" t="s">
        <v>121</v>
      </c>
      <c r="D869" s="6">
        <v>12</v>
      </c>
      <c r="E869" s="15" t="s">
        <v>31</v>
      </c>
      <c r="F869" s="14" t="s">
        <v>50</v>
      </c>
      <c r="G869" s="57">
        <f>G870</f>
        <v>0</v>
      </c>
      <c r="H869" s="116"/>
      <c r="I869" s="117"/>
      <c r="J869" s="116"/>
      <c r="K869" s="80"/>
      <c r="L869" s="79"/>
      <c r="M869" s="79"/>
      <c r="AG869" s="79"/>
      <c r="AH869" s="79"/>
      <c r="DT869" s="99">
        <f t="shared" si="15"/>
        <v>0</v>
      </c>
    </row>
    <row r="870" spans="1:124" hidden="1" outlineLevel="2" x14ac:dyDescent="0.3">
      <c r="A870" s="143" t="s">
        <v>62</v>
      </c>
      <c r="B870" s="13">
        <v>936</v>
      </c>
      <c r="C870" s="14" t="s">
        <v>121</v>
      </c>
      <c r="D870" s="6" t="s">
        <v>259</v>
      </c>
      <c r="E870" s="14" t="s">
        <v>262</v>
      </c>
      <c r="F870" s="14" t="s">
        <v>50</v>
      </c>
      <c r="G870" s="57">
        <f>G871</f>
        <v>0</v>
      </c>
      <c r="H870" s="116"/>
      <c r="I870" s="117"/>
      <c r="J870" s="116"/>
      <c r="K870" s="80"/>
      <c r="L870" s="79"/>
      <c r="M870" s="79"/>
      <c r="AG870" s="79"/>
      <c r="AH870" s="79"/>
      <c r="DT870" s="99">
        <f t="shared" si="15"/>
        <v>0</v>
      </c>
    </row>
    <row r="871" spans="1:124" hidden="1" outlineLevel="2" x14ac:dyDescent="0.3">
      <c r="A871" s="143" t="s">
        <v>260</v>
      </c>
      <c r="B871" s="13">
        <v>936</v>
      </c>
      <c r="C871" s="14" t="s">
        <v>121</v>
      </c>
      <c r="D871" s="6" t="s">
        <v>259</v>
      </c>
      <c r="E871" s="14" t="s">
        <v>263</v>
      </c>
      <c r="F871" s="14" t="s">
        <v>50</v>
      </c>
      <c r="G871" s="57">
        <f>G872+G873</f>
        <v>0</v>
      </c>
      <c r="H871" s="116"/>
      <c r="I871" s="117"/>
      <c r="J871" s="116"/>
      <c r="K871" s="80"/>
      <c r="L871" s="79"/>
      <c r="M871" s="79"/>
      <c r="AG871" s="79"/>
      <c r="AH871" s="79"/>
      <c r="DT871" s="99">
        <f t="shared" si="15"/>
        <v>0</v>
      </c>
    </row>
    <row r="872" spans="1:124" ht="37.5" hidden="1" outlineLevel="2" x14ac:dyDescent="0.3">
      <c r="A872" s="143" t="s">
        <v>58</v>
      </c>
      <c r="B872" s="13">
        <v>936</v>
      </c>
      <c r="C872" s="14" t="s">
        <v>121</v>
      </c>
      <c r="D872" s="6" t="s">
        <v>259</v>
      </c>
      <c r="E872" s="14" t="s">
        <v>263</v>
      </c>
      <c r="F872" s="14" t="s">
        <v>59</v>
      </c>
      <c r="G872" s="57"/>
      <c r="H872" s="116"/>
      <c r="I872" s="117"/>
      <c r="J872" s="116"/>
      <c r="K872" s="80"/>
      <c r="L872" s="79"/>
      <c r="M872" s="79"/>
      <c r="AG872" s="79"/>
      <c r="AH872" s="79"/>
      <c r="DT872" s="99">
        <f t="shared" si="15"/>
        <v>0</v>
      </c>
    </row>
    <row r="873" spans="1:124" ht="49.5" hidden="1" customHeight="1" outlineLevel="2" x14ac:dyDescent="0.3">
      <c r="A873" s="143" t="s">
        <v>264</v>
      </c>
      <c r="B873" s="13">
        <v>936</v>
      </c>
      <c r="C873" s="14" t="s">
        <v>121</v>
      </c>
      <c r="D873" s="14" t="s">
        <v>259</v>
      </c>
      <c r="E873" s="14" t="s">
        <v>263</v>
      </c>
      <c r="F873" s="14" t="s">
        <v>261</v>
      </c>
      <c r="G873" s="57"/>
      <c r="H873" s="116"/>
      <c r="I873" s="117"/>
      <c r="J873" s="116"/>
      <c r="K873" s="80"/>
      <c r="L873" s="79"/>
      <c r="M873" s="79"/>
      <c r="AG873" s="79"/>
      <c r="AH873" s="79"/>
      <c r="DT873" s="99">
        <f t="shared" si="15"/>
        <v>0</v>
      </c>
    </row>
    <row r="874" spans="1:124" hidden="1" outlineLevel="1" x14ac:dyDescent="0.3">
      <c r="A874" s="143" t="s">
        <v>409</v>
      </c>
      <c r="B874" s="28">
        <v>936</v>
      </c>
      <c r="C874" s="29" t="s">
        <v>121</v>
      </c>
      <c r="D874" s="30" t="s">
        <v>259</v>
      </c>
      <c r="E874" s="20" t="s">
        <v>136</v>
      </c>
      <c r="F874" s="20" t="s">
        <v>50</v>
      </c>
      <c r="G874" s="57">
        <f>G875</f>
        <v>0</v>
      </c>
      <c r="H874" s="116"/>
      <c r="I874" s="117"/>
      <c r="J874" s="116"/>
      <c r="K874" s="80"/>
      <c r="L874" s="79"/>
      <c r="M874" s="79"/>
      <c r="AG874" s="79"/>
      <c r="AH874" s="79"/>
      <c r="DT874" s="99">
        <f t="shared" si="15"/>
        <v>0</v>
      </c>
    </row>
    <row r="875" spans="1:124" hidden="1" outlineLevel="1" x14ac:dyDescent="0.3">
      <c r="A875" s="166" t="s">
        <v>62</v>
      </c>
      <c r="B875" s="28">
        <v>936</v>
      </c>
      <c r="C875" s="29" t="s">
        <v>121</v>
      </c>
      <c r="D875" s="30" t="s">
        <v>259</v>
      </c>
      <c r="E875" s="20" t="s">
        <v>266</v>
      </c>
      <c r="F875" s="20" t="s">
        <v>50</v>
      </c>
      <c r="G875" s="57">
        <f>G876</f>
        <v>0</v>
      </c>
      <c r="H875" s="116"/>
      <c r="I875" s="117"/>
      <c r="J875" s="116"/>
      <c r="K875" s="80"/>
      <c r="L875" s="79"/>
      <c r="M875" s="79"/>
      <c r="AG875" s="79"/>
      <c r="AH875" s="79"/>
      <c r="DT875" s="99">
        <f t="shared" si="15"/>
        <v>0</v>
      </c>
    </row>
    <row r="876" spans="1:124" ht="37.5" hidden="1" outlineLevel="1" x14ac:dyDescent="0.3">
      <c r="A876" s="166" t="s">
        <v>265</v>
      </c>
      <c r="B876" s="28">
        <v>936</v>
      </c>
      <c r="C876" s="29" t="s">
        <v>121</v>
      </c>
      <c r="D876" s="30" t="s">
        <v>259</v>
      </c>
      <c r="E876" s="20" t="s">
        <v>267</v>
      </c>
      <c r="F876" s="20" t="s">
        <v>50</v>
      </c>
      <c r="G876" s="57">
        <f>G877</f>
        <v>0</v>
      </c>
      <c r="H876" s="116"/>
      <c r="I876" s="117"/>
      <c r="J876" s="116"/>
      <c r="K876" s="80"/>
      <c r="L876" s="79"/>
      <c r="M876" s="79"/>
      <c r="AG876" s="79"/>
      <c r="AH876" s="79"/>
      <c r="DT876" s="99">
        <f t="shared" si="15"/>
        <v>0</v>
      </c>
    </row>
    <row r="877" spans="1:124" ht="37.5" hidden="1" outlineLevel="1" x14ac:dyDescent="0.3">
      <c r="A877" s="143" t="s">
        <v>425</v>
      </c>
      <c r="B877" s="28">
        <v>936</v>
      </c>
      <c r="C877" s="29" t="s">
        <v>121</v>
      </c>
      <c r="D877" s="30" t="s">
        <v>259</v>
      </c>
      <c r="E877" s="20" t="s">
        <v>267</v>
      </c>
      <c r="F877" s="20" t="s">
        <v>59</v>
      </c>
      <c r="G877" s="57">
        <v>0</v>
      </c>
      <c r="H877" s="116"/>
      <c r="I877" s="117"/>
      <c r="J877" s="116"/>
      <c r="K877" s="80"/>
      <c r="L877" s="79"/>
      <c r="M877" s="79"/>
      <c r="AG877" s="79"/>
      <c r="AH877" s="79"/>
      <c r="DT877" s="99">
        <f t="shared" si="15"/>
        <v>0</v>
      </c>
    </row>
    <row r="878" spans="1:124" hidden="1" outlineLevel="1" x14ac:dyDescent="0.3">
      <c r="A878" s="143" t="s">
        <v>409</v>
      </c>
      <c r="B878" s="13">
        <v>936</v>
      </c>
      <c r="C878" s="29" t="s">
        <v>121</v>
      </c>
      <c r="D878" s="30" t="s">
        <v>259</v>
      </c>
      <c r="E878" s="15" t="s">
        <v>106</v>
      </c>
      <c r="F878" s="14" t="s">
        <v>50</v>
      </c>
      <c r="G878" s="57">
        <f>G879</f>
        <v>0</v>
      </c>
      <c r="H878" s="116"/>
      <c r="I878" s="117"/>
      <c r="J878" s="116"/>
      <c r="K878" s="80"/>
      <c r="L878" s="79"/>
      <c r="M878" s="79"/>
      <c r="AG878" s="79"/>
      <c r="AH878" s="79"/>
      <c r="DT878" s="99">
        <f t="shared" si="15"/>
        <v>0</v>
      </c>
    </row>
    <row r="879" spans="1:124" hidden="1" outlineLevel="1" x14ac:dyDescent="0.3">
      <c r="A879" s="163" t="s">
        <v>62</v>
      </c>
      <c r="B879" s="58">
        <v>936</v>
      </c>
      <c r="C879" s="29" t="s">
        <v>121</v>
      </c>
      <c r="D879" s="30" t="s">
        <v>259</v>
      </c>
      <c r="E879" s="44" t="s">
        <v>356</v>
      </c>
      <c r="F879" s="44" t="s">
        <v>50</v>
      </c>
      <c r="G879" s="57">
        <f>G880</f>
        <v>0</v>
      </c>
      <c r="H879" s="116"/>
      <c r="I879" s="117"/>
      <c r="J879" s="116"/>
      <c r="K879" s="80"/>
      <c r="L879" s="79"/>
      <c r="M879" s="79"/>
      <c r="AG879" s="79"/>
      <c r="AH879" s="79"/>
      <c r="DT879" s="99">
        <f t="shared" si="15"/>
        <v>0</v>
      </c>
    </row>
    <row r="880" spans="1:124" ht="37.5" hidden="1" outlineLevel="1" x14ac:dyDescent="0.3">
      <c r="A880" s="163" t="s">
        <v>352</v>
      </c>
      <c r="B880" s="58">
        <v>936</v>
      </c>
      <c r="C880" s="29" t="s">
        <v>121</v>
      </c>
      <c r="D880" s="30" t="s">
        <v>259</v>
      </c>
      <c r="E880" s="44" t="s">
        <v>357</v>
      </c>
      <c r="F880" s="44" t="s">
        <v>50</v>
      </c>
      <c r="G880" s="57">
        <f>G881</f>
        <v>0</v>
      </c>
      <c r="H880" s="116"/>
      <c r="I880" s="117"/>
      <c r="J880" s="116"/>
      <c r="K880" s="80"/>
      <c r="L880" s="79"/>
      <c r="M880" s="79"/>
      <c r="AG880" s="79"/>
      <c r="AH880" s="79"/>
      <c r="DT880" s="99">
        <f t="shared" si="15"/>
        <v>0</v>
      </c>
    </row>
    <row r="881" spans="1:124" ht="37.5" hidden="1" outlineLevel="1" x14ac:dyDescent="0.3">
      <c r="A881" s="143" t="s">
        <v>425</v>
      </c>
      <c r="B881" s="58">
        <v>936</v>
      </c>
      <c r="C881" s="29" t="s">
        <v>121</v>
      </c>
      <c r="D881" s="30" t="s">
        <v>259</v>
      </c>
      <c r="E881" s="44" t="s">
        <v>357</v>
      </c>
      <c r="F881" s="44" t="s">
        <v>59</v>
      </c>
      <c r="G881" s="57">
        <v>0</v>
      </c>
      <c r="H881" s="116"/>
      <c r="I881" s="117"/>
      <c r="J881" s="116"/>
      <c r="K881" s="80"/>
      <c r="L881" s="79"/>
      <c r="M881" s="79"/>
      <c r="AG881" s="79"/>
      <c r="AH881" s="79"/>
      <c r="AR881" s="194">
        <v>128.166</v>
      </c>
      <c r="DT881" s="99">
        <f t="shared" si="15"/>
        <v>0</v>
      </c>
    </row>
    <row r="882" spans="1:124" ht="56.25" collapsed="1" x14ac:dyDescent="0.3">
      <c r="A882" s="156" t="s">
        <v>20</v>
      </c>
      <c r="B882" s="28">
        <v>936</v>
      </c>
      <c r="C882" s="29" t="s">
        <v>121</v>
      </c>
      <c r="D882" s="30" t="s">
        <v>259</v>
      </c>
      <c r="E882" s="15" t="s">
        <v>21</v>
      </c>
      <c r="F882" s="20" t="s">
        <v>50</v>
      </c>
      <c r="G882" s="57">
        <f>G883+G893</f>
        <v>200</v>
      </c>
      <c r="H882" s="116"/>
      <c r="I882" s="117"/>
      <c r="J882" s="116"/>
      <c r="K882" s="80"/>
      <c r="L882" s="79"/>
      <c r="M882" s="79"/>
      <c r="AG882" s="79"/>
      <c r="AH882" s="79"/>
      <c r="DT882" s="99">
        <f t="shared" si="15"/>
        <v>0</v>
      </c>
    </row>
    <row r="883" spans="1:124" hidden="1" x14ac:dyDescent="0.3">
      <c r="A883" s="189" t="s">
        <v>24</v>
      </c>
      <c r="B883" s="28">
        <v>936</v>
      </c>
      <c r="C883" s="29" t="s">
        <v>121</v>
      </c>
      <c r="D883" s="30" t="s">
        <v>259</v>
      </c>
      <c r="E883" s="15" t="s">
        <v>857</v>
      </c>
      <c r="F883" s="20" t="s">
        <v>50</v>
      </c>
      <c r="G883" s="57">
        <f>G884+G889+G891</f>
        <v>140</v>
      </c>
      <c r="H883" s="116"/>
      <c r="I883" s="117"/>
      <c r="J883" s="116"/>
      <c r="K883" s="80"/>
      <c r="L883" s="79"/>
      <c r="M883" s="79"/>
      <c r="AG883" s="79"/>
      <c r="AH883" s="79"/>
      <c r="DT883" s="99">
        <f t="shared" si="15"/>
        <v>0</v>
      </c>
    </row>
    <row r="884" spans="1:124" ht="21.75" customHeight="1" x14ac:dyDescent="0.3">
      <c r="A884" s="143" t="s">
        <v>62</v>
      </c>
      <c r="B884" s="13">
        <v>936</v>
      </c>
      <c r="C884" s="14" t="s">
        <v>121</v>
      </c>
      <c r="D884" s="6" t="s">
        <v>259</v>
      </c>
      <c r="E884" s="14" t="s">
        <v>445</v>
      </c>
      <c r="F884" s="14" t="s">
        <v>50</v>
      </c>
      <c r="G884" s="87">
        <f>G885</f>
        <v>140</v>
      </c>
      <c r="H884" s="116"/>
      <c r="I884" s="117"/>
      <c r="J884" s="116"/>
      <c r="K884" s="80"/>
      <c r="L884" s="79"/>
      <c r="M884" s="79"/>
      <c r="AG884" s="79"/>
      <c r="AH884" s="79"/>
      <c r="DT884" s="99">
        <f t="shared" si="15"/>
        <v>0</v>
      </c>
    </row>
    <row r="885" spans="1:124" x14ac:dyDescent="0.3">
      <c r="A885" s="143" t="s">
        <v>221</v>
      </c>
      <c r="B885" s="13">
        <v>936</v>
      </c>
      <c r="C885" s="14" t="s">
        <v>121</v>
      </c>
      <c r="D885" s="6" t="s">
        <v>259</v>
      </c>
      <c r="E885" s="14" t="s">
        <v>447</v>
      </c>
      <c r="F885" s="14" t="s">
        <v>50</v>
      </c>
      <c r="G885" s="87">
        <f>G886+G887</f>
        <v>140</v>
      </c>
      <c r="H885" s="116"/>
      <c r="I885" s="117"/>
      <c r="J885" s="116"/>
      <c r="K885" s="80"/>
      <c r="L885" s="79"/>
      <c r="M885" s="79"/>
      <c r="AG885" s="79"/>
      <c r="AH885" s="79"/>
      <c r="DT885" s="99">
        <f t="shared" si="15"/>
        <v>0</v>
      </c>
    </row>
    <row r="886" spans="1:124" ht="37.5" x14ac:dyDescent="0.3">
      <c r="A886" s="143" t="s">
        <v>425</v>
      </c>
      <c r="B886" s="13">
        <v>936</v>
      </c>
      <c r="C886" s="14" t="s">
        <v>121</v>
      </c>
      <c r="D886" s="6" t="s">
        <v>259</v>
      </c>
      <c r="E886" s="14" t="s">
        <v>447</v>
      </c>
      <c r="F886" s="14" t="s">
        <v>59</v>
      </c>
      <c r="G886" s="87">
        <f>DT886</f>
        <v>140</v>
      </c>
      <c r="H886" s="116">
        <f>30+19</f>
        <v>49</v>
      </c>
      <c r="I886" s="117"/>
      <c r="J886" s="116"/>
      <c r="K886" s="80"/>
      <c r="L886" s="79"/>
      <c r="M886" s="79"/>
      <c r="U886">
        <v>160</v>
      </c>
      <c r="Z886">
        <v>-40</v>
      </c>
      <c r="AD886">
        <v>70</v>
      </c>
      <c r="AG886" s="79"/>
      <c r="AH886" s="79"/>
      <c r="AK886" s="79">
        <v>90</v>
      </c>
      <c r="AX886" s="101">
        <v>100</v>
      </c>
      <c r="AZ886" s="226">
        <v>50</v>
      </c>
      <c r="BX886" s="151">
        <v>20</v>
      </c>
      <c r="CB886" s="226">
        <v>154</v>
      </c>
      <c r="CH886" s="258">
        <v>100</v>
      </c>
      <c r="CR886" s="99">
        <v>100</v>
      </c>
      <c r="CU886" s="258">
        <f>338.2+149.3</f>
        <v>487.5</v>
      </c>
      <c r="CX886" s="270">
        <f>120+100</f>
        <v>220</v>
      </c>
      <c r="CZ886" s="194">
        <v>50</v>
      </c>
      <c r="DC886" s="194">
        <v>150</v>
      </c>
      <c r="DD886" s="194">
        <v>-19.5</v>
      </c>
      <c r="DI886" s="270">
        <v>93</v>
      </c>
      <c r="DS886" s="99">
        <v>140</v>
      </c>
      <c r="DT886" s="99">
        <f t="shared" si="15"/>
        <v>140</v>
      </c>
    </row>
    <row r="887" spans="1:124" hidden="1" x14ac:dyDescent="0.3">
      <c r="A887" s="143" t="s">
        <v>311</v>
      </c>
      <c r="B887" s="13">
        <v>936</v>
      </c>
      <c r="C887" s="14" t="s">
        <v>529</v>
      </c>
      <c r="D887" s="6" t="s">
        <v>123</v>
      </c>
      <c r="E887" s="14" t="s">
        <v>530</v>
      </c>
      <c r="F887" s="14" t="s">
        <v>50</v>
      </c>
      <c r="G887" s="33"/>
      <c r="H887" s="133"/>
      <c r="I887" s="134"/>
      <c r="J887" s="133"/>
      <c r="K887" s="80"/>
      <c r="L887" s="79"/>
      <c r="M887" s="79"/>
      <c r="AG887" s="79"/>
      <c r="AH887" s="79"/>
      <c r="DT887" s="99">
        <f t="shared" si="15"/>
        <v>0</v>
      </c>
    </row>
    <row r="888" spans="1:124" hidden="1" x14ac:dyDescent="0.3">
      <c r="A888" s="143"/>
      <c r="B888" s="13"/>
      <c r="C888" s="14"/>
      <c r="D888" s="6"/>
      <c r="E888" s="14"/>
      <c r="F888" s="14"/>
      <c r="G888" s="57"/>
      <c r="H888" s="116"/>
      <c r="I888" s="117"/>
      <c r="J888" s="116"/>
      <c r="K888" s="80"/>
      <c r="L888" s="79"/>
      <c r="M888" s="79"/>
      <c r="AG888" s="79"/>
      <c r="AH888" s="79"/>
      <c r="DT888" s="99">
        <f t="shared" si="15"/>
        <v>0</v>
      </c>
    </row>
    <row r="889" spans="1:124" hidden="1" x14ac:dyDescent="0.3">
      <c r="A889" s="143" t="s">
        <v>528</v>
      </c>
      <c r="B889" s="13">
        <v>936</v>
      </c>
      <c r="C889" s="14" t="s">
        <v>121</v>
      </c>
      <c r="D889" s="6" t="s">
        <v>259</v>
      </c>
      <c r="E889" s="14" t="s">
        <v>858</v>
      </c>
      <c r="F889" s="14" t="s">
        <v>50</v>
      </c>
      <c r="G889" s="33">
        <f>G890</f>
        <v>0</v>
      </c>
      <c r="H889" s="133"/>
      <c r="I889" s="134">
        <v>109.6</v>
      </c>
      <c r="J889" s="133"/>
      <c r="K889" s="80"/>
      <c r="L889" s="79"/>
      <c r="M889" s="79"/>
      <c r="AG889" s="79"/>
      <c r="AH889" s="79"/>
      <c r="DT889" s="99">
        <f t="shared" si="15"/>
        <v>0</v>
      </c>
    </row>
    <row r="890" spans="1:124" ht="37.5" hidden="1" x14ac:dyDescent="0.3">
      <c r="A890" s="143" t="s">
        <v>425</v>
      </c>
      <c r="B890" s="13">
        <v>936</v>
      </c>
      <c r="C890" s="14" t="s">
        <v>121</v>
      </c>
      <c r="D890" s="6" t="s">
        <v>259</v>
      </c>
      <c r="E890" s="14" t="s">
        <v>858</v>
      </c>
      <c r="F890" s="14" t="s">
        <v>59</v>
      </c>
      <c r="G890" s="72">
        <v>0</v>
      </c>
      <c r="H890" s="116"/>
      <c r="I890" s="117"/>
      <c r="J890" s="116"/>
      <c r="K890" s="80"/>
      <c r="L890" s="79"/>
      <c r="M890" s="79"/>
      <c r="AG890" s="79">
        <v>-39.5</v>
      </c>
      <c r="AH890" s="79"/>
      <c r="AK890" s="79">
        <v>253.2</v>
      </c>
      <c r="BO890" s="238">
        <v>222.1</v>
      </c>
      <c r="BT890" s="151">
        <v>30.4</v>
      </c>
      <c r="DT890" s="99">
        <f t="shared" si="15"/>
        <v>0</v>
      </c>
    </row>
    <row r="891" spans="1:124" hidden="1" x14ac:dyDescent="0.3">
      <c r="A891" s="143" t="s">
        <v>528</v>
      </c>
      <c r="B891" s="13">
        <v>936</v>
      </c>
      <c r="C891" s="14" t="s">
        <v>121</v>
      </c>
      <c r="D891" s="6" t="s">
        <v>259</v>
      </c>
      <c r="E891" s="14" t="s">
        <v>859</v>
      </c>
      <c r="F891" s="14" t="s">
        <v>50</v>
      </c>
      <c r="G891" s="72">
        <f>G892</f>
        <v>0</v>
      </c>
      <c r="H891" s="116"/>
      <c r="I891" s="117"/>
      <c r="J891" s="116"/>
      <c r="K891" s="80"/>
      <c r="L891" s="79"/>
      <c r="M891" s="79"/>
      <c r="AG891" s="79"/>
      <c r="AH891" s="79"/>
      <c r="DT891" s="99">
        <f t="shared" si="15"/>
        <v>0</v>
      </c>
    </row>
    <row r="892" spans="1:124" ht="37.5" hidden="1" x14ac:dyDescent="0.3">
      <c r="A892" s="143" t="s">
        <v>425</v>
      </c>
      <c r="B892" s="13">
        <v>936</v>
      </c>
      <c r="C892" s="14" t="s">
        <v>121</v>
      </c>
      <c r="D892" s="6" t="s">
        <v>259</v>
      </c>
      <c r="E892" s="14" t="s">
        <v>859</v>
      </c>
      <c r="F892" s="14" t="s">
        <v>59</v>
      </c>
      <c r="G892" s="72">
        <v>0</v>
      </c>
      <c r="H892" s="116"/>
      <c r="I892" s="117"/>
      <c r="J892" s="116">
        <v>27.4</v>
      </c>
      <c r="K892" s="80"/>
      <c r="L892" s="79"/>
      <c r="M892" s="79"/>
      <c r="AG892" s="79"/>
      <c r="AH892" s="79"/>
      <c r="BP892" s="239">
        <v>74.099999999999994</v>
      </c>
      <c r="BU892" s="151">
        <v>10.199999999999999</v>
      </c>
      <c r="DT892" s="99">
        <f t="shared" si="15"/>
        <v>0</v>
      </c>
    </row>
    <row r="893" spans="1:124" x14ac:dyDescent="0.3">
      <c r="A893" s="143" t="s">
        <v>409</v>
      </c>
      <c r="B893" s="13">
        <v>936</v>
      </c>
      <c r="C893" s="14" t="s">
        <v>121</v>
      </c>
      <c r="D893" s="14" t="s">
        <v>259</v>
      </c>
      <c r="E893" s="14" t="s">
        <v>35</v>
      </c>
      <c r="F893" s="14" t="s">
        <v>50</v>
      </c>
      <c r="G893" s="87">
        <f>G897+G899+G902</f>
        <v>60</v>
      </c>
      <c r="H893" s="116"/>
      <c r="I893" s="117"/>
      <c r="J893" s="116"/>
      <c r="K893" s="80"/>
      <c r="L893" s="79"/>
      <c r="M893" s="79"/>
      <c r="AG893" s="79"/>
      <c r="AH893" s="79"/>
      <c r="DT893" s="99">
        <f t="shared" si="15"/>
        <v>0</v>
      </c>
    </row>
    <row r="894" spans="1:124" ht="23.25" hidden="1" customHeight="1" x14ac:dyDescent="0.3">
      <c r="A894" s="143" t="s">
        <v>62</v>
      </c>
      <c r="B894" s="13">
        <v>936</v>
      </c>
      <c r="C894" s="14" t="s">
        <v>121</v>
      </c>
      <c r="D894" s="6" t="s">
        <v>259</v>
      </c>
      <c r="E894" s="14" t="s">
        <v>225</v>
      </c>
      <c r="F894" s="14" t="s">
        <v>50</v>
      </c>
      <c r="G894" s="87">
        <f>G895</f>
        <v>0</v>
      </c>
      <c r="H894" s="116"/>
      <c r="I894" s="117"/>
      <c r="J894" s="116"/>
      <c r="K894" s="80"/>
      <c r="L894" s="79"/>
      <c r="M894" s="79"/>
      <c r="AG894" s="79"/>
      <c r="AH894" s="79"/>
      <c r="DT894" s="99">
        <f t="shared" si="15"/>
        <v>0</v>
      </c>
    </row>
    <row r="895" spans="1:124" hidden="1" x14ac:dyDescent="0.3">
      <c r="A895" s="189" t="s">
        <v>269</v>
      </c>
      <c r="B895" s="13">
        <v>936</v>
      </c>
      <c r="C895" s="14" t="s">
        <v>121</v>
      </c>
      <c r="D895" s="6" t="s">
        <v>259</v>
      </c>
      <c r="E895" s="14" t="s">
        <v>271</v>
      </c>
      <c r="F895" s="14" t="s">
        <v>50</v>
      </c>
      <c r="G895" s="87">
        <f>G896</f>
        <v>0</v>
      </c>
      <c r="H895" s="116"/>
      <c r="I895" s="117"/>
      <c r="J895" s="116"/>
      <c r="K895" s="80"/>
      <c r="L895" s="79"/>
      <c r="M895" s="79"/>
      <c r="AG895" s="79"/>
      <c r="AH895" s="79"/>
      <c r="DT895" s="99">
        <f t="shared" si="15"/>
        <v>0</v>
      </c>
    </row>
    <row r="896" spans="1:124" ht="37.5" hidden="1" x14ac:dyDescent="0.3">
      <c r="A896" s="143" t="s">
        <v>425</v>
      </c>
      <c r="B896" s="13">
        <v>936</v>
      </c>
      <c r="C896" s="14" t="s">
        <v>121</v>
      </c>
      <c r="D896" s="6" t="s">
        <v>259</v>
      </c>
      <c r="E896" s="14" t="s">
        <v>271</v>
      </c>
      <c r="F896" s="14" t="s">
        <v>59</v>
      </c>
      <c r="G896" s="87">
        <f>H896-50</f>
        <v>0</v>
      </c>
      <c r="H896" s="125">
        <v>50</v>
      </c>
      <c r="I896" s="126"/>
      <c r="J896" s="125"/>
      <c r="K896" s="80"/>
      <c r="L896" s="79"/>
      <c r="M896" s="79"/>
      <c r="AD896">
        <v>-70</v>
      </c>
      <c r="AG896" s="79"/>
      <c r="AH896" s="79"/>
      <c r="AK896" s="79">
        <v>100</v>
      </c>
      <c r="DT896" s="99">
        <f t="shared" si="15"/>
        <v>0</v>
      </c>
    </row>
    <row r="897" spans="1:124" ht="37.5" x14ac:dyDescent="0.3">
      <c r="A897" s="162" t="s">
        <v>272</v>
      </c>
      <c r="B897" s="13">
        <v>936</v>
      </c>
      <c r="C897" s="14" t="s">
        <v>121</v>
      </c>
      <c r="D897" s="6" t="s">
        <v>259</v>
      </c>
      <c r="E897" s="14" t="s">
        <v>273</v>
      </c>
      <c r="F897" s="14" t="s">
        <v>50</v>
      </c>
      <c r="G897" s="87">
        <f>G898</f>
        <v>60</v>
      </c>
      <c r="H897" s="116"/>
      <c r="I897" s="117"/>
      <c r="J897" s="116"/>
      <c r="K897" s="80"/>
      <c r="L897" s="79"/>
      <c r="M897" s="79"/>
      <c r="AG897" s="79"/>
      <c r="AH897" s="79"/>
      <c r="DT897" s="99">
        <f t="shared" si="15"/>
        <v>0</v>
      </c>
    </row>
    <row r="898" spans="1:124" ht="37.5" x14ac:dyDescent="0.3">
      <c r="A898" s="143" t="s">
        <v>425</v>
      </c>
      <c r="B898" s="13">
        <v>936</v>
      </c>
      <c r="C898" s="14" t="s">
        <v>121</v>
      </c>
      <c r="D898" s="6" t="s">
        <v>259</v>
      </c>
      <c r="E898" s="14" t="s">
        <v>273</v>
      </c>
      <c r="F898" s="1">
        <v>200</v>
      </c>
      <c r="G898" s="87">
        <f>DT898</f>
        <v>60</v>
      </c>
      <c r="H898" s="116">
        <v>21</v>
      </c>
      <c r="I898" s="117"/>
      <c r="J898" s="116"/>
      <c r="K898" s="80"/>
      <c r="L898" s="79"/>
      <c r="M898" s="79"/>
      <c r="AG898" s="79"/>
      <c r="AH898" s="79"/>
      <c r="AK898" s="79">
        <v>0</v>
      </c>
      <c r="BN898" s="237">
        <v>40</v>
      </c>
      <c r="CR898" s="99">
        <v>100</v>
      </c>
      <c r="CU898" s="258">
        <v>17</v>
      </c>
      <c r="DD898" s="194">
        <v>19.5</v>
      </c>
      <c r="DF898" s="194">
        <v>25</v>
      </c>
      <c r="DS898" s="99">
        <v>60</v>
      </c>
      <c r="DT898" s="99">
        <f t="shared" si="15"/>
        <v>60</v>
      </c>
    </row>
    <row r="899" spans="1:124" ht="75" hidden="1" x14ac:dyDescent="0.3">
      <c r="A899" s="143" t="s">
        <v>249</v>
      </c>
      <c r="B899" s="13">
        <v>936</v>
      </c>
      <c r="C899" s="14" t="s">
        <v>121</v>
      </c>
      <c r="D899" s="6" t="s">
        <v>259</v>
      </c>
      <c r="E899" s="14" t="s">
        <v>470</v>
      </c>
      <c r="F899" s="15" t="s">
        <v>50</v>
      </c>
      <c r="G899" s="72">
        <f>G900</f>
        <v>0</v>
      </c>
      <c r="H899" s="116"/>
      <c r="I899" s="117"/>
      <c r="J899" s="116"/>
      <c r="K899" s="80"/>
      <c r="L899" s="79"/>
      <c r="M899" s="79"/>
      <c r="AG899" s="79"/>
      <c r="AH899" s="79"/>
      <c r="DT899" s="99">
        <f t="shared" si="15"/>
        <v>0</v>
      </c>
    </row>
    <row r="900" spans="1:124" ht="40.5" hidden="1" customHeight="1" x14ac:dyDescent="0.3">
      <c r="A900" s="143" t="s">
        <v>471</v>
      </c>
      <c r="B900" s="13">
        <v>936</v>
      </c>
      <c r="C900" s="14" t="s">
        <v>121</v>
      </c>
      <c r="D900" s="6" t="s">
        <v>259</v>
      </c>
      <c r="E900" s="14" t="s">
        <v>469</v>
      </c>
      <c r="F900" s="15" t="s">
        <v>50</v>
      </c>
      <c r="G900" s="72">
        <f>G901</f>
        <v>0</v>
      </c>
      <c r="H900" s="116"/>
      <c r="I900" s="117"/>
      <c r="J900" s="116"/>
      <c r="K900" s="80"/>
      <c r="L900" s="79"/>
      <c r="M900" s="79"/>
      <c r="AG900" s="79"/>
      <c r="AH900" s="79"/>
      <c r="DT900" s="99">
        <f t="shared" si="15"/>
        <v>0</v>
      </c>
    </row>
    <row r="901" spans="1:124" ht="37.5" hidden="1" x14ac:dyDescent="0.3">
      <c r="A901" s="143" t="s">
        <v>425</v>
      </c>
      <c r="B901" s="13">
        <v>936</v>
      </c>
      <c r="C901" s="14" t="s">
        <v>121</v>
      </c>
      <c r="D901" s="6" t="s">
        <v>259</v>
      </c>
      <c r="E901" s="14" t="s">
        <v>469</v>
      </c>
      <c r="F901" s="1">
        <v>200</v>
      </c>
      <c r="G901" s="72">
        <v>0</v>
      </c>
      <c r="H901" s="116"/>
      <c r="I901" s="117"/>
      <c r="J901" s="116"/>
      <c r="K901" s="80"/>
      <c r="L901" s="79"/>
      <c r="M901" s="79"/>
      <c r="AG901" s="79"/>
      <c r="AH901" s="79"/>
      <c r="DT901" s="99">
        <f t="shared" si="15"/>
        <v>0</v>
      </c>
    </row>
    <row r="902" spans="1:124" ht="39.75" hidden="1" customHeight="1" x14ac:dyDescent="0.3">
      <c r="A902" s="143" t="s">
        <v>472</v>
      </c>
      <c r="B902" s="13">
        <v>936</v>
      </c>
      <c r="C902" s="14" t="s">
        <v>121</v>
      </c>
      <c r="D902" s="6" t="s">
        <v>259</v>
      </c>
      <c r="E902" s="14" t="s">
        <v>473</v>
      </c>
      <c r="F902" s="15" t="s">
        <v>50</v>
      </c>
      <c r="G902" s="72">
        <f>G903</f>
        <v>0</v>
      </c>
      <c r="H902" s="116"/>
      <c r="I902" s="117"/>
      <c r="J902" s="116"/>
      <c r="K902" s="80"/>
      <c r="L902" s="79"/>
      <c r="M902" s="79"/>
      <c r="AG902" s="79"/>
      <c r="AH902" s="79"/>
      <c r="DT902" s="99">
        <f t="shared" si="15"/>
        <v>0</v>
      </c>
    </row>
    <row r="903" spans="1:124" ht="37.5" hidden="1" x14ac:dyDescent="0.3">
      <c r="A903" s="143" t="s">
        <v>425</v>
      </c>
      <c r="B903" s="13">
        <v>936</v>
      </c>
      <c r="C903" s="14" t="s">
        <v>121</v>
      </c>
      <c r="D903" s="6" t="s">
        <v>259</v>
      </c>
      <c r="E903" s="14" t="s">
        <v>473</v>
      </c>
      <c r="F903" s="1">
        <v>200</v>
      </c>
      <c r="G903" s="72">
        <v>0</v>
      </c>
      <c r="H903" s="116"/>
      <c r="I903" s="117"/>
      <c r="J903" s="116"/>
      <c r="K903" s="80"/>
      <c r="L903" s="79"/>
      <c r="M903" s="79"/>
      <c r="AG903" s="79"/>
      <c r="AH903" s="79"/>
      <c r="DT903" s="99">
        <f t="shared" si="15"/>
        <v>0</v>
      </c>
    </row>
    <row r="904" spans="1:124" x14ac:dyDescent="0.3">
      <c r="A904" s="155" t="s">
        <v>274</v>
      </c>
      <c r="B904" s="12">
        <v>936</v>
      </c>
      <c r="C904" s="9" t="s">
        <v>209</v>
      </c>
      <c r="D904" s="9" t="s">
        <v>112</v>
      </c>
      <c r="E904" s="9" t="s">
        <v>49</v>
      </c>
      <c r="F904" s="9" t="s">
        <v>50</v>
      </c>
      <c r="G904" s="68">
        <f>G905+G932+G968+G1128</f>
        <v>282115.40000000002</v>
      </c>
      <c r="H904" s="116"/>
      <c r="I904" s="117"/>
      <c r="J904" s="116"/>
      <c r="K904" s="80"/>
      <c r="L904" s="79"/>
      <c r="M904" s="79"/>
      <c r="AG904" s="79"/>
      <c r="AH904" s="79"/>
      <c r="DT904" s="99">
        <f t="shared" si="15"/>
        <v>0</v>
      </c>
    </row>
    <row r="905" spans="1:124" x14ac:dyDescent="0.3">
      <c r="A905" s="155" t="s">
        <v>275</v>
      </c>
      <c r="B905" s="12">
        <v>936</v>
      </c>
      <c r="C905" s="9" t="s">
        <v>209</v>
      </c>
      <c r="D905" s="9" t="s">
        <v>115</v>
      </c>
      <c r="E905" s="9" t="s">
        <v>49</v>
      </c>
      <c r="F905" s="9" t="s">
        <v>50</v>
      </c>
      <c r="G905" s="68">
        <f>G911+G906+G918</f>
        <v>600</v>
      </c>
      <c r="H905" s="116"/>
      <c r="I905" s="117"/>
      <c r="J905" s="116"/>
      <c r="K905" s="80"/>
      <c r="L905" s="79"/>
      <c r="M905" s="79"/>
      <c r="AG905" s="79"/>
      <c r="AH905" s="79"/>
      <c r="DT905" s="99">
        <f t="shared" si="15"/>
        <v>0</v>
      </c>
    </row>
    <row r="906" spans="1:124" ht="56.25" x14ac:dyDescent="0.3">
      <c r="A906" s="143" t="s">
        <v>0</v>
      </c>
      <c r="B906" s="13">
        <v>936</v>
      </c>
      <c r="C906" s="14" t="s">
        <v>209</v>
      </c>
      <c r="D906" s="14" t="s">
        <v>115</v>
      </c>
      <c r="E906" s="15" t="s">
        <v>92</v>
      </c>
      <c r="F906" s="14" t="s">
        <v>50</v>
      </c>
      <c r="G906" s="57">
        <f>G907</f>
        <v>50</v>
      </c>
      <c r="H906" s="116"/>
      <c r="I906" s="117"/>
      <c r="J906" s="116"/>
      <c r="K906" s="80"/>
      <c r="L906" s="79"/>
      <c r="M906" s="79"/>
      <c r="AG906" s="79"/>
      <c r="AH906" s="79"/>
      <c r="DT906" s="99">
        <f t="shared" ref="DT906:DT969" si="16">DN906+DO906+DP906+DQ906+DR906+DS906</f>
        <v>0</v>
      </c>
    </row>
    <row r="907" spans="1:124" x14ac:dyDescent="0.3">
      <c r="A907" s="143" t="s">
        <v>409</v>
      </c>
      <c r="B907" s="13">
        <v>936</v>
      </c>
      <c r="C907" s="14" t="s">
        <v>209</v>
      </c>
      <c r="D907" s="14" t="s">
        <v>115</v>
      </c>
      <c r="E907" s="15" t="s">
        <v>450</v>
      </c>
      <c r="F907" s="14" t="s">
        <v>50</v>
      </c>
      <c r="G907" s="57">
        <f>G908</f>
        <v>50</v>
      </c>
      <c r="H907" s="116"/>
      <c r="I907" s="117"/>
      <c r="J907" s="116"/>
      <c r="K907" s="80"/>
      <c r="L907" s="79"/>
      <c r="M907" s="79"/>
      <c r="AG907" s="79"/>
      <c r="AH907" s="79"/>
      <c r="DT907" s="99">
        <f t="shared" si="16"/>
        <v>0</v>
      </c>
    </row>
    <row r="908" spans="1:124" x14ac:dyDescent="0.3">
      <c r="A908" s="143" t="s">
        <v>62</v>
      </c>
      <c r="B908" s="13">
        <v>936</v>
      </c>
      <c r="C908" s="14" t="s">
        <v>209</v>
      </c>
      <c r="D908" s="14" t="s">
        <v>115</v>
      </c>
      <c r="E908" s="15" t="s">
        <v>502</v>
      </c>
      <c r="F908" s="14" t="s">
        <v>50</v>
      </c>
      <c r="G908" s="57">
        <f>G909</f>
        <v>50</v>
      </c>
      <c r="H908" s="116"/>
      <c r="I908" s="117"/>
      <c r="J908" s="116"/>
      <c r="K908" s="80"/>
      <c r="L908" s="79"/>
      <c r="M908" s="79"/>
      <c r="AG908" s="79"/>
      <c r="AH908" s="79"/>
      <c r="DT908" s="99">
        <f t="shared" si="16"/>
        <v>0</v>
      </c>
    </row>
    <row r="909" spans="1:124" ht="56.25" x14ac:dyDescent="0.3">
      <c r="A909" s="143" t="s">
        <v>451</v>
      </c>
      <c r="B909" s="13">
        <v>936</v>
      </c>
      <c r="C909" s="14" t="s">
        <v>209</v>
      </c>
      <c r="D909" s="14" t="s">
        <v>115</v>
      </c>
      <c r="E909" s="15" t="s">
        <v>501</v>
      </c>
      <c r="F909" s="14" t="s">
        <v>50</v>
      </c>
      <c r="G909" s="57">
        <f>G910</f>
        <v>50</v>
      </c>
      <c r="H909" s="116"/>
      <c r="I909" s="117"/>
      <c r="J909" s="116"/>
      <c r="K909" s="80"/>
      <c r="L909" s="79"/>
      <c r="M909" s="79"/>
      <c r="AG909" s="79"/>
      <c r="AH909" s="79"/>
      <c r="DT909" s="99">
        <f t="shared" si="16"/>
        <v>0</v>
      </c>
    </row>
    <row r="910" spans="1:124" ht="37.5" x14ac:dyDescent="0.3">
      <c r="A910" s="143" t="s">
        <v>425</v>
      </c>
      <c r="B910" s="13">
        <v>936</v>
      </c>
      <c r="C910" s="14" t="s">
        <v>209</v>
      </c>
      <c r="D910" s="14" t="s">
        <v>115</v>
      </c>
      <c r="E910" s="15" t="s">
        <v>501</v>
      </c>
      <c r="F910" s="14" t="s">
        <v>59</v>
      </c>
      <c r="G910" s="57">
        <f>DS910</f>
        <v>50</v>
      </c>
      <c r="H910" s="116"/>
      <c r="I910" s="117"/>
      <c r="J910" s="116"/>
      <c r="K910" s="80"/>
      <c r="L910" s="79"/>
      <c r="M910" s="79"/>
      <c r="N910">
        <v>160</v>
      </c>
      <c r="T910">
        <f>-4-160</f>
        <v>-164</v>
      </c>
      <c r="U910">
        <v>4</v>
      </c>
      <c r="AG910" s="79"/>
      <c r="AH910" s="79"/>
      <c r="AK910" s="79">
        <v>0</v>
      </c>
      <c r="DS910" s="99">
        <v>50</v>
      </c>
      <c r="DT910" s="99">
        <f t="shared" si="16"/>
        <v>50</v>
      </c>
    </row>
    <row r="911" spans="1:124" ht="42.75" customHeight="1" x14ac:dyDescent="0.3">
      <c r="A911" s="156" t="s">
        <v>161</v>
      </c>
      <c r="B911" s="13">
        <v>936</v>
      </c>
      <c r="C911" s="14" t="s">
        <v>209</v>
      </c>
      <c r="D911" s="14" t="s">
        <v>115</v>
      </c>
      <c r="E911" s="15" t="s">
        <v>99</v>
      </c>
      <c r="F911" s="14" t="s">
        <v>50</v>
      </c>
      <c r="G911" s="57">
        <f>G912</f>
        <v>550</v>
      </c>
      <c r="H911" s="116"/>
      <c r="I911" s="117"/>
      <c r="J911" s="116"/>
      <c r="K911" s="80"/>
      <c r="L911" s="79"/>
      <c r="M911" s="79"/>
      <c r="AG911" s="79"/>
      <c r="AH911" s="79"/>
      <c r="DT911" s="99">
        <f t="shared" si="16"/>
        <v>0</v>
      </c>
    </row>
    <row r="912" spans="1:124" ht="56.25" x14ac:dyDescent="0.3">
      <c r="A912" s="156" t="s">
        <v>9</v>
      </c>
      <c r="B912" s="13">
        <v>936</v>
      </c>
      <c r="C912" s="14" t="s">
        <v>209</v>
      </c>
      <c r="D912" s="14" t="s">
        <v>115</v>
      </c>
      <c r="E912" s="15" t="s">
        <v>101</v>
      </c>
      <c r="F912" s="14" t="s">
        <v>50</v>
      </c>
      <c r="G912" s="57">
        <f>G913</f>
        <v>550</v>
      </c>
      <c r="H912" s="116"/>
      <c r="I912" s="117"/>
      <c r="J912" s="116"/>
      <c r="K912" s="80"/>
      <c r="L912" s="79"/>
      <c r="M912" s="79"/>
      <c r="AG912" s="79"/>
      <c r="AH912" s="79"/>
      <c r="DT912" s="99">
        <f t="shared" si="16"/>
        <v>0</v>
      </c>
    </row>
    <row r="913" spans="1:124" x14ac:dyDescent="0.3">
      <c r="A913" s="143" t="s">
        <v>62</v>
      </c>
      <c r="B913" s="13">
        <v>936</v>
      </c>
      <c r="C913" s="14" t="s">
        <v>209</v>
      </c>
      <c r="D913" s="14" t="s">
        <v>115</v>
      </c>
      <c r="E913" s="14" t="s">
        <v>268</v>
      </c>
      <c r="F913" s="14" t="s">
        <v>50</v>
      </c>
      <c r="G913" s="57">
        <f>G916+G914</f>
        <v>550</v>
      </c>
      <c r="H913" s="116"/>
      <c r="I913" s="117"/>
      <c r="J913" s="116"/>
      <c r="K913" s="80"/>
      <c r="L913" s="79"/>
      <c r="M913" s="79"/>
      <c r="AG913" s="79"/>
      <c r="AH913" s="79"/>
      <c r="DT913" s="99">
        <f t="shared" si="16"/>
        <v>0</v>
      </c>
    </row>
    <row r="914" spans="1:124" ht="56.25" x14ac:dyDescent="0.3">
      <c r="A914" s="143" t="s">
        <v>276</v>
      </c>
      <c r="B914" s="13">
        <v>936</v>
      </c>
      <c r="C914" s="14" t="s">
        <v>209</v>
      </c>
      <c r="D914" s="14" t="s">
        <v>115</v>
      </c>
      <c r="E914" s="14" t="s">
        <v>277</v>
      </c>
      <c r="F914" s="14" t="s">
        <v>50</v>
      </c>
      <c r="G914" s="57">
        <f>G915</f>
        <v>550</v>
      </c>
      <c r="H914" s="116"/>
      <c r="I914" s="117"/>
      <c r="J914" s="116"/>
      <c r="K914" s="80"/>
      <c r="L914" s="79"/>
      <c r="M914" s="79"/>
      <c r="AG914" s="79"/>
      <c r="AH914" s="79"/>
      <c r="DT914" s="99">
        <f t="shared" si="16"/>
        <v>0</v>
      </c>
    </row>
    <row r="915" spans="1:124" ht="37.5" x14ac:dyDescent="0.3">
      <c r="A915" s="143" t="s">
        <v>425</v>
      </c>
      <c r="B915" s="13">
        <v>936</v>
      </c>
      <c r="C915" s="14" t="s">
        <v>209</v>
      </c>
      <c r="D915" s="14" t="s">
        <v>115</v>
      </c>
      <c r="E915" s="14" t="s">
        <v>277</v>
      </c>
      <c r="F915" s="14" t="s">
        <v>59</v>
      </c>
      <c r="G915" s="72">
        <f>DT915</f>
        <v>550</v>
      </c>
      <c r="H915" s="116">
        <f>730+50</f>
        <v>780</v>
      </c>
      <c r="I915" s="117"/>
      <c r="J915" s="116"/>
      <c r="K915" s="80"/>
      <c r="L915" s="79"/>
      <c r="M915" s="79">
        <v>1922</v>
      </c>
      <c r="N915">
        <f>-579.17+170.4</f>
        <v>-408.77</v>
      </c>
      <c r="T915">
        <v>100</v>
      </c>
      <c r="AC915">
        <v>720</v>
      </c>
      <c r="AE915">
        <v>370</v>
      </c>
      <c r="AG915" s="79"/>
      <c r="AH915" s="79">
        <v>250</v>
      </c>
      <c r="AK915" s="79">
        <v>730</v>
      </c>
      <c r="AS915" s="194">
        <v>1030</v>
      </c>
      <c r="AU915">
        <v>-60</v>
      </c>
      <c r="AV915" s="194">
        <f>300-25</f>
        <v>275</v>
      </c>
      <c r="AZ915" s="226">
        <v>24</v>
      </c>
      <c r="BE915" s="226">
        <v>-103.1</v>
      </c>
      <c r="BJ915" s="194">
        <v>-34.450000000000003</v>
      </c>
      <c r="BK915" s="226">
        <v>-15.55</v>
      </c>
      <c r="BN915" s="237">
        <v>750</v>
      </c>
      <c r="BX915" s="151">
        <v>50</v>
      </c>
      <c r="CF915" s="194">
        <v>80</v>
      </c>
      <c r="CP915" s="259">
        <v>2200</v>
      </c>
      <c r="CR915" s="99">
        <v>750</v>
      </c>
      <c r="CU915" s="258">
        <f>750+500</f>
        <v>1250</v>
      </c>
      <c r="CX915" s="270">
        <f>42+75</f>
        <v>117</v>
      </c>
      <c r="CY915" s="194">
        <v>707</v>
      </c>
      <c r="DC915" s="194">
        <v>-250</v>
      </c>
      <c r="DD915" s="194">
        <v>-109.67877</v>
      </c>
      <c r="DE915" s="194">
        <v>250</v>
      </c>
      <c r="DJ915" s="194">
        <v>300</v>
      </c>
      <c r="DS915" s="99">
        <v>550</v>
      </c>
      <c r="DT915" s="99">
        <f t="shared" si="16"/>
        <v>550</v>
      </c>
    </row>
    <row r="916" spans="1:124" ht="93.75" hidden="1" x14ac:dyDescent="0.3">
      <c r="A916" s="143" t="s">
        <v>278</v>
      </c>
      <c r="B916" s="13">
        <v>936</v>
      </c>
      <c r="C916" s="14" t="s">
        <v>209</v>
      </c>
      <c r="D916" s="14" t="s">
        <v>115</v>
      </c>
      <c r="E916" s="14" t="s">
        <v>279</v>
      </c>
      <c r="F916" s="14" t="s">
        <v>50</v>
      </c>
      <c r="G916" s="57">
        <f>G917</f>
        <v>0</v>
      </c>
      <c r="H916" s="116"/>
      <c r="I916" s="117"/>
      <c r="J916" s="116"/>
      <c r="K916" s="80"/>
      <c r="L916" s="79"/>
      <c r="M916" s="79"/>
      <c r="AG916" s="79"/>
      <c r="AH916" s="79"/>
      <c r="DT916" s="99">
        <f t="shared" si="16"/>
        <v>0</v>
      </c>
    </row>
    <row r="917" spans="1:124" ht="37.5" hidden="1" x14ac:dyDescent="0.3">
      <c r="A917" s="143" t="s">
        <v>58</v>
      </c>
      <c r="B917" s="13">
        <v>936</v>
      </c>
      <c r="C917" s="14" t="s">
        <v>209</v>
      </c>
      <c r="D917" s="14" t="s">
        <v>115</v>
      </c>
      <c r="E917" s="14" t="s">
        <v>279</v>
      </c>
      <c r="F917" s="14" t="s">
        <v>59</v>
      </c>
      <c r="G917" s="57">
        <v>0</v>
      </c>
      <c r="H917" s="116"/>
      <c r="I917" s="117"/>
      <c r="J917" s="116"/>
      <c r="K917" s="80"/>
      <c r="L917" s="79"/>
      <c r="M917" s="79"/>
      <c r="AG917" s="79"/>
      <c r="AH917" s="79"/>
      <c r="DT917" s="99">
        <f t="shared" si="16"/>
        <v>0</v>
      </c>
    </row>
    <row r="918" spans="1:124" ht="85.5" hidden="1" customHeight="1" x14ac:dyDescent="0.3">
      <c r="A918" s="143" t="s">
        <v>656</v>
      </c>
      <c r="B918" s="13">
        <v>936</v>
      </c>
      <c r="C918" s="14" t="s">
        <v>209</v>
      </c>
      <c r="D918" s="14" t="s">
        <v>115</v>
      </c>
      <c r="E918" s="14" t="s">
        <v>657</v>
      </c>
      <c r="F918" s="14" t="s">
        <v>50</v>
      </c>
      <c r="G918" s="57">
        <f>G919+G930</f>
        <v>0</v>
      </c>
      <c r="H918" s="116"/>
      <c r="I918" s="117"/>
      <c r="J918" s="116"/>
      <c r="K918" s="80"/>
      <c r="L918" s="79"/>
      <c r="M918" s="79"/>
      <c r="AG918" s="79"/>
      <c r="AH918" s="79"/>
      <c r="DT918" s="99">
        <f t="shared" si="16"/>
        <v>0</v>
      </c>
    </row>
    <row r="919" spans="1:124" hidden="1" x14ac:dyDescent="0.3">
      <c r="A919" s="163" t="s">
        <v>83</v>
      </c>
      <c r="B919" s="13">
        <v>936</v>
      </c>
      <c r="C919" s="14" t="s">
        <v>209</v>
      </c>
      <c r="D919" s="14" t="s">
        <v>115</v>
      </c>
      <c r="E919" s="14" t="s">
        <v>658</v>
      </c>
      <c r="F919" s="14" t="s">
        <v>50</v>
      </c>
      <c r="G919" s="57">
        <f>G924+G920+G922</f>
        <v>0</v>
      </c>
      <c r="H919" s="116"/>
      <c r="I919" s="117"/>
      <c r="J919" s="116"/>
      <c r="K919" s="80"/>
      <c r="L919" s="79"/>
      <c r="M919" s="79"/>
      <c r="AG919" s="79"/>
      <c r="AH919" s="79"/>
      <c r="DT919" s="99">
        <f t="shared" si="16"/>
        <v>0</v>
      </c>
    </row>
    <row r="920" spans="1:124" ht="37.5" hidden="1" x14ac:dyDescent="0.3">
      <c r="A920" s="165" t="s">
        <v>783</v>
      </c>
      <c r="B920" s="13">
        <v>936</v>
      </c>
      <c r="C920" s="14" t="s">
        <v>209</v>
      </c>
      <c r="D920" s="14" t="s">
        <v>115</v>
      </c>
      <c r="E920" s="14" t="s">
        <v>781</v>
      </c>
      <c r="F920" s="14" t="s">
        <v>50</v>
      </c>
      <c r="G920" s="57">
        <f>G921</f>
        <v>0</v>
      </c>
      <c r="H920" s="116"/>
      <c r="I920" s="117"/>
      <c r="J920" s="116"/>
      <c r="K920" s="80"/>
      <c r="L920" s="79"/>
      <c r="M920" s="79"/>
      <c r="AG920" s="79"/>
      <c r="AH920" s="79"/>
      <c r="DT920" s="99">
        <f t="shared" si="16"/>
        <v>0</v>
      </c>
    </row>
    <row r="921" spans="1:124" ht="56.25" hidden="1" x14ac:dyDescent="0.3">
      <c r="A921" s="143" t="s">
        <v>290</v>
      </c>
      <c r="B921" s="13">
        <v>936</v>
      </c>
      <c r="C921" s="14" t="s">
        <v>209</v>
      </c>
      <c r="D921" s="14" t="s">
        <v>115</v>
      </c>
      <c r="E921" s="14" t="s">
        <v>781</v>
      </c>
      <c r="F921" s="14" t="s">
        <v>291</v>
      </c>
      <c r="G921" s="57">
        <v>0</v>
      </c>
      <c r="H921" s="116"/>
      <c r="I921" s="117"/>
      <c r="J921" s="116"/>
      <c r="K921" s="80"/>
      <c r="L921" s="79"/>
      <c r="M921" s="79"/>
      <c r="AG921" s="79"/>
      <c r="AH921" s="79"/>
      <c r="BB921" s="194">
        <v>1376</v>
      </c>
      <c r="DT921" s="99">
        <f t="shared" si="16"/>
        <v>0</v>
      </c>
    </row>
    <row r="922" spans="1:124" ht="37.5" hidden="1" x14ac:dyDescent="0.3">
      <c r="A922" s="165" t="s">
        <v>783</v>
      </c>
      <c r="B922" s="13">
        <v>936</v>
      </c>
      <c r="C922" s="14" t="s">
        <v>209</v>
      </c>
      <c r="D922" s="14" t="s">
        <v>115</v>
      </c>
      <c r="E922" s="14" t="s">
        <v>782</v>
      </c>
      <c r="F922" s="14" t="s">
        <v>50</v>
      </c>
      <c r="G922" s="57">
        <f>G923</f>
        <v>0</v>
      </c>
      <c r="H922" s="116"/>
      <c r="I922" s="117"/>
      <c r="J922" s="116"/>
      <c r="K922" s="80"/>
      <c r="L922" s="79"/>
      <c r="M922" s="79"/>
      <c r="AG922" s="79"/>
      <c r="AH922" s="79"/>
      <c r="DT922" s="99">
        <f t="shared" si="16"/>
        <v>0</v>
      </c>
    </row>
    <row r="923" spans="1:124" ht="56.25" hidden="1" x14ac:dyDescent="0.3">
      <c r="A923" s="143" t="s">
        <v>290</v>
      </c>
      <c r="B923" s="13">
        <v>936</v>
      </c>
      <c r="C923" s="14" t="s">
        <v>209</v>
      </c>
      <c r="D923" s="14" t="s">
        <v>115</v>
      </c>
      <c r="E923" s="14" t="s">
        <v>782</v>
      </c>
      <c r="F923" s="14" t="s">
        <v>291</v>
      </c>
      <c r="G923" s="57">
        <v>0</v>
      </c>
      <c r="H923" s="116"/>
      <c r="I923" s="117"/>
      <c r="J923" s="116"/>
      <c r="K923" s="80"/>
      <c r="L923" s="79"/>
      <c r="M923" s="79"/>
      <c r="AG923" s="79"/>
      <c r="AH923" s="79"/>
      <c r="BB923" s="194">
        <v>30.87</v>
      </c>
      <c r="DT923" s="99">
        <f t="shared" si="16"/>
        <v>0</v>
      </c>
    </row>
    <row r="924" spans="1:124" ht="37.5" hidden="1" x14ac:dyDescent="0.3">
      <c r="A924" s="165" t="s">
        <v>351</v>
      </c>
      <c r="B924" s="13">
        <v>936</v>
      </c>
      <c r="C924" s="14" t="s">
        <v>209</v>
      </c>
      <c r="D924" s="14" t="s">
        <v>115</v>
      </c>
      <c r="E924" s="14" t="s">
        <v>659</v>
      </c>
      <c r="F924" s="14" t="s">
        <v>50</v>
      </c>
      <c r="G924" s="57">
        <f>G925</f>
        <v>0</v>
      </c>
      <c r="H924" s="116"/>
      <c r="I924" s="117"/>
      <c r="J924" s="116"/>
      <c r="K924" s="80"/>
      <c r="L924" s="79"/>
      <c r="M924" s="79"/>
      <c r="AG924" s="79"/>
      <c r="AH924" s="79"/>
      <c r="DT924" s="99">
        <f t="shared" si="16"/>
        <v>0</v>
      </c>
    </row>
    <row r="925" spans="1:124" ht="56.25" hidden="1" x14ac:dyDescent="0.3">
      <c r="A925" s="165" t="s">
        <v>660</v>
      </c>
      <c r="B925" s="13">
        <v>936</v>
      </c>
      <c r="C925" s="14" t="s">
        <v>209</v>
      </c>
      <c r="D925" s="14" t="s">
        <v>115</v>
      </c>
      <c r="E925" s="14" t="s">
        <v>661</v>
      </c>
      <c r="F925" s="14" t="s">
        <v>50</v>
      </c>
      <c r="G925" s="57">
        <f>G926+G928</f>
        <v>0</v>
      </c>
      <c r="H925" s="116"/>
      <c r="I925" s="117"/>
      <c r="J925" s="116"/>
      <c r="K925" s="80"/>
      <c r="L925" s="79"/>
      <c r="M925" s="79"/>
      <c r="AG925" s="79"/>
      <c r="AH925" s="79"/>
      <c r="DT925" s="99">
        <f t="shared" si="16"/>
        <v>0</v>
      </c>
    </row>
    <row r="926" spans="1:124" ht="64.5" hidden="1" customHeight="1" x14ac:dyDescent="0.3">
      <c r="A926" s="232" t="s">
        <v>1145</v>
      </c>
      <c r="B926" s="13">
        <v>936</v>
      </c>
      <c r="C926" s="14" t="s">
        <v>209</v>
      </c>
      <c r="D926" s="14" t="s">
        <v>115</v>
      </c>
      <c r="E926" s="113" t="s">
        <v>1143</v>
      </c>
      <c r="F926" s="14" t="s">
        <v>50</v>
      </c>
      <c r="G926" s="57">
        <f>G927</f>
        <v>0</v>
      </c>
      <c r="H926" s="116"/>
      <c r="I926" s="117"/>
      <c r="J926" s="116"/>
      <c r="K926" s="80"/>
      <c r="L926" s="79"/>
      <c r="M926" s="79"/>
      <c r="AG926" s="79"/>
      <c r="AH926" s="79"/>
      <c r="DT926" s="99">
        <f t="shared" si="16"/>
        <v>0</v>
      </c>
    </row>
    <row r="927" spans="1:124" ht="56.25" hidden="1" x14ac:dyDescent="0.3">
      <c r="A927" s="143" t="s">
        <v>290</v>
      </c>
      <c r="B927" s="13">
        <v>936</v>
      </c>
      <c r="C927" s="14" t="s">
        <v>209</v>
      </c>
      <c r="D927" s="14" t="s">
        <v>115</v>
      </c>
      <c r="E927" s="113" t="s">
        <v>1143</v>
      </c>
      <c r="F927" s="14" t="s">
        <v>291</v>
      </c>
      <c r="G927" s="57">
        <v>0</v>
      </c>
      <c r="H927" s="116"/>
      <c r="I927" s="117"/>
      <c r="J927" s="116"/>
      <c r="K927" s="80"/>
      <c r="L927" s="79"/>
      <c r="M927" s="79"/>
      <c r="AG927" s="79"/>
      <c r="AH927" s="79"/>
      <c r="AK927" s="79">
        <v>0</v>
      </c>
      <c r="BB927" s="194">
        <v>1252.68481</v>
      </c>
      <c r="DT927" s="99">
        <f t="shared" si="16"/>
        <v>0</v>
      </c>
    </row>
    <row r="928" spans="1:124" ht="56.25" hidden="1" x14ac:dyDescent="0.3">
      <c r="A928" s="232" t="s">
        <v>662</v>
      </c>
      <c r="B928" s="13">
        <v>936</v>
      </c>
      <c r="C928" s="14" t="s">
        <v>209</v>
      </c>
      <c r="D928" s="14" t="s">
        <v>115</v>
      </c>
      <c r="E928" s="113" t="s">
        <v>1144</v>
      </c>
      <c r="F928" s="14" t="s">
        <v>50</v>
      </c>
      <c r="G928" s="57">
        <f>G929</f>
        <v>0</v>
      </c>
      <c r="H928" s="116"/>
      <c r="I928" s="117"/>
      <c r="J928" s="116"/>
      <c r="K928" s="80"/>
      <c r="L928" s="79"/>
      <c r="M928" s="79"/>
      <c r="AG928" s="79"/>
      <c r="AH928" s="79"/>
      <c r="DT928" s="99">
        <f t="shared" si="16"/>
        <v>0</v>
      </c>
    </row>
    <row r="929" spans="1:124" ht="56.25" hidden="1" x14ac:dyDescent="0.3">
      <c r="A929" s="143" t="s">
        <v>290</v>
      </c>
      <c r="B929" s="13">
        <v>936</v>
      </c>
      <c r="C929" s="14" t="s">
        <v>209</v>
      </c>
      <c r="D929" s="14" t="s">
        <v>115</v>
      </c>
      <c r="E929" s="113" t="s">
        <v>1144</v>
      </c>
      <c r="F929" s="14" t="s">
        <v>291</v>
      </c>
      <c r="G929" s="57">
        <v>0</v>
      </c>
      <c r="H929" s="116"/>
      <c r="I929" s="117"/>
      <c r="J929" s="116"/>
      <c r="K929" s="80"/>
      <c r="L929" s="79"/>
      <c r="M929" s="79"/>
      <c r="AG929" s="79"/>
      <c r="AH929" s="79"/>
      <c r="AK929" s="79">
        <v>0</v>
      </c>
      <c r="BB929" s="194">
        <v>427.47381999999999</v>
      </c>
      <c r="DT929" s="99">
        <f t="shared" si="16"/>
        <v>0</v>
      </c>
    </row>
    <row r="930" spans="1:124" ht="56.25" hidden="1" x14ac:dyDescent="0.3">
      <c r="A930" s="232" t="s">
        <v>1146</v>
      </c>
      <c r="B930" s="13">
        <v>936</v>
      </c>
      <c r="C930" s="14" t="s">
        <v>209</v>
      </c>
      <c r="D930" s="14" t="s">
        <v>115</v>
      </c>
      <c r="E930" s="113" t="s">
        <v>1147</v>
      </c>
      <c r="F930" s="14" t="s">
        <v>50</v>
      </c>
      <c r="G930" s="57">
        <f>G931</f>
        <v>0</v>
      </c>
      <c r="H930" s="116"/>
      <c r="I930" s="117"/>
      <c r="J930" s="116"/>
      <c r="K930" s="80"/>
      <c r="L930" s="79"/>
      <c r="M930" s="79"/>
      <c r="AG930" s="79"/>
      <c r="AH930" s="79"/>
      <c r="DT930" s="99">
        <f t="shared" si="16"/>
        <v>0</v>
      </c>
    </row>
    <row r="931" spans="1:124" ht="56.25" hidden="1" x14ac:dyDescent="0.3">
      <c r="A931" s="143" t="s">
        <v>290</v>
      </c>
      <c r="B931" s="13">
        <v>936</v>
      </c>
      <c r="C931" s="14" t="s">
        <v>209</v>
      </c>
      <c r="D931" s="14" t="s">
        <v>115</v>
      </c>
      <c r="E931" s="113" t="s">
        <v>1147</v>
      </c>
      <c r="F931" s="14" t="s">
        <v>291</v>
      </c>
      <c r="G931" s="57">
        <v>0</v>
      </c>
      <c r="H931" s="116"/>
      <c r="I931" s="117"/>
      <c r="J931" s="116"/>
      <c r="K931" s="80"/>
      <c r="L931" s="79"/>
      <c r="M931" s="79"/>
      <c r="AG931" s="79"/>
      <c r="AH931" s="79"/>
      <c r="DT931" s="99">
        <f t="shared" si="16"/>
        <v>0</v>
      </c>
    </row>
    <row r="932" spans="1:124" x14ac:dyDescent="0.3">
      <c r="A932" s="155" t="s">
        <v>280</v>
      </c>
      <c r="B932" s="12">
        <v>936</v>
      </c>
      <c r="C932" s="9" t="s">
        <v>209</v>
      </c>
      <c r="D932" s="9" t="s">
        <v>116</v>
      </c>
      <c r="E932" s="12" t="s">
        <v>49</v>
      </c>
      <c r="F932" s="9" t="s">
        <v>50</v>
      </c>
      <c r="G932" s="68">
        <f>G933+G965</f>
        <v>120385</v>
      </c>
      <c r="H932" s="116"/>
      <c r="I932" s="117"/>
      <c r="J932" s="116"/>
      <c r="K932" s="80"/>
      <c r="L932" s="79"/>
      <c r="M932" s="79"/>
      <c r="AG932" s="79"/>
      <c r="AH932" s="79"/>
      <c r="DT932" s="99">
        <f t="shared" si="16"/>
        <v>0</v>
      </c>
    </row>
    <row r="933" spans="1:124" ht="41.25" customHeight="1" x14ac:dyDescent="0.3">
      <c r="A933" s="156" t="s">
        <v>161</v>
      </c>
      <c r="B933" s="13">
        <v>936</v>
      </c>
      <c r="C933" s="14" t="s">
        <v>209</v>
      </c>
      <c r="D933" s="14" t="s">
        <v>116</v>
      </c>
      <c r="E933" s="15" t="s">
        <v>99</v>
      </c>
      <c r="F933" s="14" t="s">
        <v>50</v>
      </c>
      <c r="G933" s="57">
        <f>G934+G942+G961+G950</f>
        <v>620</v>
      </c>
      <c r="H933" s="116"/>
      <c r="I933" s="117"/>
      <c r="J933" s="116"/>
      <c r="K933" s="80"/>
      <c r="L933" s="79"/>
      <c r="M933" s="79"/>
      <c r="AG933" s="79"/>
      <c r="AH933" s="79"/>
      <c r="DT933" s="99">
        <f t="shared" si="16"/>
        <v>0</v>
      </c>
    </row>
    <row r="934" spans="1:124" ht="56.25" hidden="1" x14ac:dyDescent="0.3">
      <c r="A934" s="156" t="s">
        <v>9</v>
      </c>
      <c r="B934" s="13">
        <v>936</v>
      </c>
      <c r="C934" s="14" t="s">
        <v>209</v>
      </c>
      <c r="D934" s="14" t="s">
        <v>116</v>
      </c>
      <c r="E934" s="15" t="s">
        <v>101</v>
      </c>
      <c r="F934" s="14" t="s">
        <v>50</v>
      </c>
      <c r="G934" s="57">
        <f>G935+G940</f>
        <v>0</v>
      </c>
      <c r="H934" s="116"/>
      <c r="I934" s="117"/>
      <c r="J934" s="116"/>
      <c r="K934" s="80"/>
      <c r="L934" s="79"/>
      <c r="M934" s="79"/>
      <c r="AG934" s="79"/>
      <c r="AH934" s="79"/>
      <c r="DT934" s="99">
        <f t="shared" si="16"/>
        <v>0</v>
      </c>
    </row>
    <row r="935" spans="1:124" hidden="1" x14ac:dyDescent="0.3">
      <c r="A935" s="143" t="s">
        <v>62</v>
      </c>
      <c r="B935" s="13">
        <v>936</v>
      </c>
      <c r="C935" s="14" t="s">
        <v>209</v>
      </c>
      <c r="D935" s="14" t="s">
        <v>116</v>
      </c>
      <c r="E935" s="14" t="s">
        <v>268</v>
      </c>
      <c r="F935" s="14" t="s">
        <v>50</v>
      </c>
      <c r="G935" s="57">
        <f>G936</f>
        <v>0</v>
      </c>
      <c r="H935" s="116"/>
      <c r="I935" s="117"/>
      <c r="J935" s="116"/>
      <c r="K935" s="80"/>
      <c r="L935" s="79"/>
      <c r="M935" s="79"/>
      <c r="AG935" s="79"/>
      <c r="AH935" s="79"/>
      <c r="DT935" s="99">
        <f t="shared" si="16"/>
        <v>0</v>
      </c>
    </row>
    <row r="936" spans="1:124" ht="56.25" hidden="1" x14ac:dyDescent="0.3">
      <c r="A936" s="143" t="s">
        <v>276</v>
      </c>
      <c r="B936" s="13">
        <v>936</v>
      </c>
      <c r="C936" s="14" t="s">
        <v>209</v>
      </c>
      <c r="D936" s="14" t="s">
        <v>116</v>
      </c>
      <c r="E936" s="14" t="s">
        <v>277</v>
      </c>
      <c r="F936" s="14" t="s">
        <v>50</v>
      </c>
      <c r="G936" s="57">
        <f>G937</f>
        <v>0</v>
      </c>
      <c r="H936" s="116"/>
      <c r="I936" s="117"/>
      <c r="J936" s="116"/>
      <c r="K936" s="80"/>
      <c r="L936" s="79"/>
      <c r="M936" s="79"/>
      <c r="AG936" s="79"/>
      <c r="AH936" s="79"/>
      <c r="DT936" s="99">
        <f t="shared" si="16"/>
        <v>0</v>
      </c>
    </row>
    <row r="937" spans="1:124" ht="37.5" hidden="1" x14ac:dyDescent="0.3">
      <c r="A937" s="143" t="s">
        <v>425</v>
      </c>
      <c r="B937" s="13">
        <v>936</v>
      </c>
      <c r="C937" s="14" t="s">
        <v>209</v>
      </c>
      <c r="D937" s="14" t="s">
        <v>116</v>
      </c>
      <c r="E937" s="14" t="s">
        <v>277</v>
      </c>
      <c r="F937" s="14" t="s">
        <v>59</v>
      </c>
      <c r="G937" s="57">
        <v>0</v>
      </c>
      <c r="H937" s="116"/>
      <c r="I937" s="117"/>
      <c r="J937" s="116"/>
      <c r="K937" s="80"/>
      <c r="L937" s="79"/>
      <c r="M937" s="79"/>
      <c r="AG937" s="79"/>
      <c r="AH937" s="79"/>
      <c r="DH937" s="194">
        <v>300</v>
      </c>
      <c r="DJ937" s="194">
        <v>-300</v>
      </c>
      <c r="DT937" s="99">
        <f t="shared" si="16"/>
        <v>0</v>
      </c>
    </row>
    <row r="938" spans="1:124" hidden="1" x14ac:dyDescent="0.3">
      <c r="A938" s="143" t="s">
        <v>655</v>
      </c>
      <c r="B938" s="13">
        <v>936</v>
      </c>
      <c r="C938" s="14" t="s">
        <v>209</v>
      </c>
      <c r="D938" s="14" t="s">
        <v>116</v>
      </c>
      <c r="E938" s="14" t="s">
        <v>654</v>
      </c>
      <c r="F938" s="14" t="s">
        <v>50</v>
      </c>
      <c r="G938" s="57">
        <f>G939</f>
        <v>0</v>
      </c>
      <c r="H938" s="116"/>
      <c r="I938" s="117"/>
      <c r="J938" s="116"/>
      <c r="K938" s="80"/>
      <c r="L938" s="79"/>
      <c r="M938" s="79"/>
      <c r="AG938" s="79"/>
      <c r="AH938" s="79"/>
      <c r="DT938" s="99">
        <f t="shared" si="16"/>
        <v>0</v>
      </c>
    </row>
    <row r="939" spans="1:124" ht="37.5" hidden="1" x14ac:dyDescent="0.3">
      <c r="A939" s="143" t="s">
        <v>58</v>
      </c>
      <c r="B939" s="13">
        <v>936</v>
      </c>
      <c r="C939" s="14" t="s">
        <v>209</v>
      </c>
      <c r="D939" s="14" t="s">
        <v>116</v>
      </c>
      <c r="E939" s="14" t="s">
        <v>654</v>
      </c>
      <c r="F939" s="14" t="s">
        <v>59</v>
      </c>
      <c r="G939" s="57">
        <v>0</v>
      </c>
      <c r="H939" s="116"/>
      <c r="I939" s="117"/>
      <c r="J939" s="116"/>
      <c r="K939" s="80"/>
      <c r="L939" s="79"/>
      <c r="M939" s="79"/>
      <c r="AE939">
        <v>73.156679999999994</v>
      </c>
      <c r="AG939" s="79"/>
      <c r="AH939" s="79"/>
      <c r="AK939" s="79">
        <v>231.8</v>
      </c>
      <c r="DT939" s="99">
        <f t="shared" si="16"/>
        <v>0</v>
      </c>
    </row>
    <row r="940" spans="1:124" hidden="1" x14ac:dyDescent="0.3">
      <c r="A940" s="182" t="s">
        <v>717</v>
      </c>
      <c r="B940" s="13">
        <v>936</v>
      </c>
      <c r="C940" s="14" t="s">
        <v>209</v>
      </c>
      <c r="D940" s="14" t="s">
        <v>116</v>
      </c>
      <c r="E940" s="14" t="s">
        <v>786</v>
      </c>
      <c r="F940" s="14" t="s">
        <v>50</v>
      </c>
      <c r="G940" s="57">
        <f>G941</f>
        <v>0</v>
      </c>
      <c r="H940" s="116"/>
      <c r="I940" s="117"/>
      <c r="J940" s="116"/>
      <c r="K940" s="80"/>
      <c r="L940" s="79"/>
      <c r="M940" s="79"/>
      <c r="AG940" s="79"/>
      <c r="AH940" s="79"/>
      <c r="DT940" s="99">
        <f t="shared" si="16"/>
        <v>0</v>
      </c>
    </row>
    <row r="941" spans="1:124" ht="56.25" hidden="1" x14ac:dyDescent="0.3">
      <c r="A941" s="143" t="s">
        <v>290</v>
      </c>
      <c r="B941" s="13">
        <v>936</v>
      </c>
      <c r="C941" s="14" t="s">
        <v>209</v>
      </c>
      <c r="D941" s="14" t="s">
        <v>116</v>
      </c>
      <c r="E941" s="14" t="s">
        <v>786</v>
      </c>
      <c r="F941" s="14" t="s">
        <v>291</v>
      </c>
      <c r="G941" s="57">
        <v>0</v>
      </c>
      <c r="H941" s="116"/>
      <c r="I941" s="117"/>
      <c r="J941" s="116"/>
      <c r="K941" s="80"/>
      <c r="L941" s="79"/>
      <c r="M941" s="79"/>
      <c r="AG941" s="79"/>
      <c r="AH941" s="79"/>
      <c r="BD941" s="226">
        <v>8162.9</v>
      </c>
      <c r="DT941" s="99">
        <f t="shared" si="16"/>
        <v>0</v>
      </c>
    </row>
    <row r="942" spans="1:124" ht="37.5" x14ac:dyDescent="0.3">
      <c r="A942" s="162" t="s">
        <v>10</v>
      </c>
      <c r="B942" s="13">
        <v>936</v>
      </c>
      <c r="C942" s="14" t="s">
        <v>209</v>
      </c>
      <c r="D942" s="14" t="s">
        <v>116</v>
      </c>
      <c r="E942" s="15" t="s">
        <v>28</v>
      </c>
      <c r="F942" s="14" t="s">
        <v>50</v>
      </c>
      <c r="G942" s="57">
        <f>G943+G948+G957</f>
        <v>620</v>
      </c>
      <c r="H942" s="116"/>
      <c r="I942" s="117"/>
      <c r="J942" s="116"/>
      <c r="K942" s="80"/>
      <c r="L942" s="79"/>
      <c r="M942" s="79"/>
      <c r="AG942" s="79"/>
      <c r="AH942" s="79"/>
      <c r="DT942" s="99">
        <f t="shared" si="16"/>
        <v>0</v>
      </c>
    </row>
    <row r="943" spans="1:124" x14ac:dyDescent="0.3">
      <c r="A943" s="143" t="s">
        <v>62</v>
      </c>
      <c r="B943" s="13">
        <v>936</v>
      </c>
      <c r="C943" s="14" t="s">
        <v>209</v>
      </c>
      <c r="D943" s="6" t="s">
        <v>116</v>
      </c>
      <c r="E943" s="14" t="s">
        <v>282</v>
      </c>
      <c r="F943" s="14" t="s">
        <v>50</v>
      </c>
      <c r="G943" s="57">
        <f>G944+G946+G955</f>
        <v>620</v>
      </c>
      <c r="H943" s="116"/>
      <c r="I943" s="117"/>
      <c r="J943" s="116"/>
      <c r="K943" s="80"/>
      <c r="L943" s="79"/>
      <c r="M943" s="79"/>
      <c r="AG943" s="79"/>
      <c r="AH943" s="79"/>
      <c r="DT943" s="99">
        <f t="shared" si="16"/>
        <v>0</v>
      </c>
    </row>
    <row r="944" spans="1:124" ht="56.25" x14ac:dyDescent="0.3">
      <c r="A944" s="143" t="s">
        <v>281</v>
      </c>
      <c r="B944" s="13">
        <v>936</v>
      </c>
      <c r="C944" s="14" t="s">
        <v>209</v>
      </c>
      <c r="D944" s="6" t="s">
        <v>116</v>
      </c>
      <c r="E944" s="14" t="s">
        <v>283</v>
      </c>
      <c r="F944" s="14" t="s">
        <v>50</v>
      </c>
      <c r="G944" s="57">
        <f>G945</f>
        <v>420</v>
      </c>
      <c r="H944" s="116"/>
      <c r="I944" s="117"/>
      <c r="J944" s="116"/>
      <c r="K944" s="80"/>
      <c r="L944" s="79"/>
      <c r="M944" s="79"/>
      <c r="AG944" s="79"/>
      <c r="AH944" s="79"/>
      <c r="DT944" s="99">
        <f t="shared" si="16"/>
        <v>0</v>
      </c>
    </row>
    <row r="945" spans="1:124" ht="37.5" x14ac:dyDescent="0.3">
      <c r="A945" s="143" t="s">
        <v>425</v>
      </c>
      <c r="B945" s="13">
        <v>936</v>
      </c>
      <c r="C945" s="14" t="s">
        <v>209</v>
      </c>
      <c r="D945" s="6" t="s">
        <v>116</v>
      </c>
      <c r="E945" s="14" t="s">
        <v>283</v>
      </c>
      <c r="F945" s="14" t="s">
        <v>59</v>
      </c>
      <c r="G945" s="72">
        <f>DT945</f>
        <v>420</v>
      </c>
      <c r="H945" s="116">
        <v>600</v>
      </c>
      <c r="I945" s="117"/>
      <c r="J945" s="116"/>
      <c r="K945" s="80"/>
      <c r="L945" s="79"/>
      <c r="M945" s="79"/>
      <c r="T945">
        <v>285</v>
      </c>
      <c r="U945">
        <v>95</v>
      </c>
      <c r="Z945">
        <v>95</v>
      </c>
      <c r="AC945">
        <v>95</v>
      </c>
      <c r="AE945">
        <v>95</v>
      </c>
      <c r="AG945" s="79"/>
      <c r="AH945" s="79">
        <v>190</v>
      </c>
      <c r="AK945" s="79">
        <v>380</v>
      </c>
      <c r="AV945" s="194">
        <v>360</v>
      </c>
      <c r="BH945" s="233">
        <v>360</v>
      </c>
      <c r="BK945" s="226">
        <v>120</v>
      </c>
      <c r="BN945" s="237">
        <v>360</v>
      </c>
      <c r="BX945" s="151">
        <v>720</v>
      </c>
      <c r="CH945" s="258">
        <v>400</v>
      </c>
      <c r="CP945" s="259">
        <v>120</v>
      </c>
      <c r="CR945" s="99">
        <v>420</v>
      </c>
      <c r="CU945" s="258">
        <v>600</v>
      </c>
      <c r="CV945" s="268">
        <v>560</v>
      </c>
      <c r="DC945" s="194">
        <v>280</v>
      </c>
      <c r="DH945" s="194">
        <v>280</v>
      </c>
      <c r="DS945" s="99">
        <v>420</v>
      </c>
      <c r="DT945" s="99">
        <f t="shared" si="16"/>
        <v>420</v>
      </c>
    </row>
    <row r="946" spans="1:124" hidden="1" x14ac:dyDescent="0.3">
      <c r="A946" s="143" t="s">
        <v>289</v>
      </c>
      <c r="B946" s="13">
        <v>936</v>
      </c>
      <c r="C946" s="14" t="s">
        <v>209</v>
      </c>
      <c r="D946" s="6" t="s">
        <v>116</v>
      </c>
      <c r="E946" s="14" t="s">
        <v>292</v>
      </c>
      <c r="F946" s="14" t="s">
        <v>50</v>
      </c>
      <c r="G946" s="72">
        <f>G947</f>
        <v>0</v>
      </c>
      <c r="H946" s="116"/>
      <c r="I946" s="117"/>
      <c r="J946" s="116"/>
      <c r="K946" s="80"/>
      <c r="L946" s="79"/>
      <c r="M946" s="79"/>
      <c r="AG946" s="79"/>
      <c r="AH946" s="79"/>
      <c r="DT946" s="99">
        <f t="shared" si="16"/>
        <v>0</v>
      </c>
    </row>
    <row r="947" spans="1:124" ht="37.5" hidden="1" x14ac:dyDescent="0.3">
      <c r="A947" s="143" t="s">
        <v>425</v>
      </c>
      <c r="B947" s="13">
        <v>936</v>
      </c>
      <c r="C947" s="14" t="s">
        <v>209</v>
      </c>
      <c r="D947" s="6" t="s">
        <v>116</v>
      </c>
      <c r="E947" s="14" t="s">
        <v>292</v>
      </c>
      <c r="F947" s="14" t="s">
        <v>59</v>
      </c>
      <c r="G947" s="72">
        <v>0</v>
      </c>
      <c r="H947" s="116"/>
      <c r="I947" s="117"/>
      <c r="J947" s="116"/>
      <c r="K947" s="80"/>
      <c r="L947" s="79"/>
      <c r="M947" s="79"/>
      <c r="N947">
        <v>400</v>
      </c>
      <c r="W947">
        <v>110</v>
      </c>
      <c r="AC947">
        <v>115</v>
      </c>
      <c r="AD947">
        <v>-115</v>
      </c>
      <c r="AG947" s="79"/>
      <c r="AH947" s="79"/>
      <c r="AK947" s="79">
        <v>0</v>
      </c>
      <c r="BU947" s="151">
        <v>10</v>
      </c>
      <c r="CR947" s="99">
        <v>404</v>
      </c>
      <c r="DT947" s="99">
        <f t="shared" si="16"/>
        <v>0</v>
      </c>
    </row>
    <row r="948" spans="1:124" ht="56.25" hidden="1" x14ac:dyDescent="0.3">
      <c r="A948" s="164" t="s">
        <v>495</v>
      </c>
      <c r="B948" s="13">
        <v>936</v>
      </c>
      <c r="C948" s="14" t="s">
        <v>209</v>
      </c>
      <c r="D948" s="6" t="s">
        <v>116</v>
      </c>
      <c r="E948" s="14" t="s">
        <v>617</v>
      </c>
      <c r="F948" s="14" t="s">
        <v>50</v>
      </c>
      <c r="G948" s="72">
        <f>G949</f>
        <v>0</v>
      </c>
      <c r="H948" s="116"/>
      <c r="I948" s="117"/>
      <c r="J948" s="116"/>
      <c r="K948" s="80"/>
      <c r="L948" s="79"/>
      <c r="M948" s="79"/>
      <c r="AG948" s="79"/>
      <c r="AH948" s="79"/>
      <c r="DT948" s="99">
        <f t="shared" si="16"/>
        <v>0</v>
      </c>
    </row>
    <row r="949" spans="1:124" hidden="1" x14ac:dyDescent="0.3">
      <c r="A949" s="163" t="s">
        <v>60</v>
      </c>
      <c r="B949" s="13">
        <v>936</v>
      </c>
      <c r="C949" s="14" t="s">
        <v>209</v>
      </c>
      <c r="D949" s="6" t="s">
        <v>116</v>
      </c>
      <c r="E949" s="14" t="s">
        <v>617</v>
      </c>
      <c r="F949" s="14" t="s">
        <v>61</v>
      </c>
      <c r="G949" s="72">
        <v>0</v>
      </c>
      <c r="H949" s="116">
        <v>2600</v>
      </c>
      <c r="I949" s="117"/>
      <c r="J949" s="116"/>
      <c r="K949" s="80"/>
      <c r="L949" s="79"/>
      <c r="M949" s="79"/>
      <c r="AG949" s="79"/>
      <c r="AH949" s="79"/>
      <c r="AS949" s="194">
        <v>550.96</v>
      </c>
      <c r="DT949" s="99">
        <f t="shared" si="16"/>
        <v>0</v>
      </c>
    </row>
    <row r="950" spans="1:124" hidden="1" x14ac:dyDescent="0.3">
      <c r="A950" s="143" t="s">
        <v>409</v>
      </c>
      <c r="B950" s="13">
        <v>936</v>
      </c>
      <c r="C950" s="14" t="s">
        <v>209</v>
      </c>
      <c r="D950" s="6" t="s">
        <v>116</v>
      </c>
      <c r="E950" s="14" t="s">
        <v>421</v>
      </c>
      <c r="F950" s="14" t="s">
        <v>50</v>
      </c>
      <c r="G950" s="72">
        <f>G951+G953+G959</f>
        <v>0</v>
      </c>
      <c r="H950" s="116"/>
      <c r="I950" s="117"/>
      <c r="J950" s="116"/>
      <c r="K950" s="80"/>
      <c r="L950" s="79"/>
      <c r="M950" s="79"/>
      <c r="AG950" s="79"/>
      <c r="AH950" s="79"/>
      <c r="DT950" s="99">
        <f t="shared" si="16"/>
        <v>0</v>
      </c>
    </row>
    <row r="951" spans="1:124" ht="37.5" hidden="1" x14ac:dyDescent="0.3">
      <c r="A951" s="232" t="s">
        <v>951</v>
      </c>
      <c r="B951" s="13">
        <v>936</v>
      </c>
      <c r="C951" s="14" t="s">
        <v>209</v>
      </c>
      <c r="D951" s="6" t="s">
        <v>116</v>
      </c>
      <c r="E951" s="14" t="s">
        <v>1125</v>
      </c>
      <c r="F951" s="14" t="s">
        <v>50</v>
      </c>
      <c r="G951" s="72">
        <f>G952</f>
        <v>0</v>
      </c>
      <c r="H951" s="116"/>
      <c r="I951" s="117"/>
      <c r="J951" s="116"/>
      <c r="K951" s="80"/>
      <c r="L951" s="79"/>
      <c r="M951" s="79"/>
      <c r="AG951" s="79"/>
      <c r="AH951" s="79"/>
      <c r="DT951" s="99">
        <f t="shared" si="16"/>
        <v>0</v>
      </c>
    </row>
    <row r="952" spans="1:124" ht="37.5" hidden="1" x14ac:dyDescent="0.3">
      <c r="A952" s="143" t="s">
        <v>425</v>
      </c>
      <c r="B952" s="13">
        <v>936</v>
      </c>
      <c r="C952" s="14" t="s">
        <v>209</v>
      </c>
      <c r="D952" s="6" t="s">
        <v>116</v>
      </c>
      <c r="E952" s="14" t="s">
        <v>1125</v>
      </c>
      <c r="F952" s="14" t="s">
        <v>59</v>
      </c>
      <c r="G952" s="72">
        <v>0</v>
      </c>
      <c r="H952" s="116"/>
      <c r="I952" s="117"/>
      <c r="J952" s="116"/>
      <c r="K952" s="80"/>
      <c r="L952" s="79"/>
      <c r="M952" s="79"/>
      <c r="AG952" s="79"/>
      <c r="AH952" s="79"/>
      <c r="BB952" s="194">
        <v>35000</v>
      </c>
      <c r="BE952" s="226">
        <v>3221.26</v>
      </c>
      <c r="BK952" s="226">
        <v>-1749.99</v>
      </c>
      <c r="DB952" s="194">
        <v>-24849.4</v>
      </c>
      <c r="DT952" s="99">
        <f t="shared" si="16"/>
        <v>0</v>
      </c>
    </row>
    <row r="953" spans="1:124" ht="52.5" hidden="1" customHeight="1" x14ac:dyDescent="0.3">
      <c r="A953" s="232" t="s">
        <v>951</v>
      </c>
      <c r="B953" s="13">
        <v>936</v>
      </c>
      <c r="C953" s="14" t="s">
        <v>209</v>
      </c>
      <c r="D953" s="6" t="s">
        <v>116</v>
      </c>
      <c r="E953" s="14" t="s">
        <v>1126</v>
      </c>
      <c r="F953" s="14" t="s">
        <v>50</v>
      </c>
      <c r="G953" s="72">
        <f>G954</f>
        <v>0</v>
      </c>
      <c r="H953" s="116"/>
      <c r="I953" s="117"/>
      <c r="J953" s="116"/>
      <c r="K953" s="80"/>
      <c r="L953" s="79"/>
      <c r="M953" s="79"/>
      <c r="AG953" s="79"/>
      <c r="AH953" s="79"/>
      <c r="DT953" s="99">
        <f t="shared" si="16"/>
        <v>0</v>
      </c>
    </row>
    <row r="954" spans="1:124" ht="37.5" hidden="1" x14ac:dyDescent="0.3">
      <c r="A954" s="143" t="s">
        <v>425</v>
      </c>
      <c r="B954" s="13">
        <v>936</v>
      </c>
      <c r="C954" s="14" t="s">
        <v>209</v>
      </c>
      <c r="D954" s="6" t="s">
        <v>116</v>
      </c>
      <c r="E954" s="14" t="s">
        <v>1126</v>
      </c>
      <c r="F954" s="14" t="s">
        <v>59</v>
      </c>
      <c r="G954" s="72">
        <v>0</v>
      </c>
      <c r="H954" s="116"/>
      <c r="I954" s="117"/>
      <c r="J954" s="116"/>
      <c r="K954" s="80"/>
      <c r="L954" s="79"/>
      <c r="M954" s="79"/>
      <c r="AG954" s="79"/>
      <c r="AH954" s="79"/>
      <c r="BB954" s="194">
        <v>1842.2</v>
      </c>
      <c r="BK954" s="226">
        <v>77.400000000000006</v>
      </c>
      <c r="CZ954" s="194">
        <f>-1177.44-35</f>
        <v>-1212.44</v>
      </c>
      <c r="DT954" s="99">
        <f t="shared" si="16"/>
        <v>0</v>
      </c>
    </row>
    <row r="955" spans="1:124" ht="75" x14ac:dyDescent="0.3">
      <c r="A955" s="143" t="s">
        <v>945</v>
      </c>
      <c r="B955" s="144">
        <v>936</v>
      </c>
      <c r="C955" s="111" t="s">
        <v>209</v>
      </c>
      <c r="D955" s="111" t="s">
        <v>116</v>
      </c>
      <c r="E955" s="111" t="s">
        <v>946</v>
      </c>
      <c r="F955" s="111" t="s">
        <v>50</v>
      </c>
      <c r="G955" s="72">
        <f>G956</f>
        <v>200</v>
      </c>
      <c r="H955" s="116"/>
      <c r="I955" s="117"/>
      <c r="J955" s="116"/>
      <c r="K955" s="80"/>
      <c r="L955" s="79"/>
      <c r="M955" s="79"/>
      <c r="AG955" s="79"/>
      <c r="AH955" s="79"/>
      <c r="DS955" s="99">
        <v>200</v>
      </c>
      <c r="DT955" s="99">
        <f t="shared" si="16"/>
        <v>200</v>
      </c>
    </row>
    <row r="956" spans="1:124" ht="37.5" x14ac:dyDescent="0.3">
      <c r="A956" s="143" t="s">
        <v>58</v>
      </c>
      <c r="B956" s="144">
        <v>936</v>
      </c>
      <c r="C956" s="111" t="s">
        <v>209</v>
      </c>
      <c r="D956" s="111" t="s">
        <v>116</v>
      </c>
      <c r="E956" s="111" t="s">
        <v>946</v>
      </c>
      <c r="F956" s="111" t="s">
        <v>59</v>
      </c>
      <c r="G956" s="72">
        <f>DS955</f>
        <v>200</v>
      </c>
      <c r="H956" s="116"/>
      <c r="I956" s="117"/>
      <c r="J956" s="116"/>
      <c r="K956" s="80"/>
      <c r="L956" s="79"/>
      <c r="M956" s="79"/>
      <c r="AG956" s="79"/>
      <c r="AH956" s="79"/>
      <c r="CR956" s="99">
        <v>110</v>
      </c>
      <c r="CU956" s="258">
        <v>43</v>
      </c>
      <c r="CX956" s="270">
        <f>7+132</f>
        <v>139</v>
      </c>
      <c r="CZ956" s="194">
        <v>73</v>
      </c>
      <c r="DC956" s="194">
        <v>132</v>
      </c>
      <c r="DH956" s="194">
        <v>80</v>
      </c>
      <c r="DT956" s="99">
        <f t="shared" si="16"/>
        <v>0</v>
      </c>
    </row>
    <row r="957" spans="1:124" hidden="1" x14ac:dyDescent="0.3">
      <c r="A957" s="143" t="s">
        <v>790</v>
      </c>
      <c r="B957" s="13">
        <v>936</v>
      </c>
      <c r="C957" s="14" t="s">
        <v>209</v>
      </c>
      <c r="D957" s="6" t="s">
        <v>116</v>
      </c>
      <c r="E957" s="14" t="s">
        <v>925</v>
      </c>
      <c r="F957" s="14" t="s">
        <v>50</v>
      </c>
      <c r="G957" s="72">
        <f>G958</f>
        <v>0</v>
      </c>
      <c r="H957" s="116"/>
      <c r="I957" s="117"/>
      <c r="J957" s="116"/>
      <c r="K957" s="80"/>
      <c r="L957" s="79"/>
      <c r="M957" s="79"/>
      <c r="AG957" s="79"/>
      <c r="AH957" s="79"/>
      <c r="DT957" s="99">
        <f t="shared" si="16"/>
        <v>0</v>
      </c>
    </row>
    <row r="958" spans="1:124" hidden="1" x14ac:dyDescent="0.3">
      <c r="A958" s="163" t="s">
        <v>60</v>
      </c>
      <c r="B958" s="13">
        <v>936</v>
      </c>
      <c r="C958" s="14" t="s">
        <v>209</v>
      </c>
      <c r="D958" s="6" t="s">
        <v>116</v>
      </c>
      <c r="E958" s="14" t="s">
        <v>925</v>
      </c>
      <c r="F958" s="14" t="s">
        <v>61</v>
      </c>
      <c r="G958" s="72">
        <v>0</v>
      </c>
      <c r="H958" s="116"/>
      <c r="I958" s="117"/>
      <c r="J958" s="116"/>
      <c r="K958" s="80"/>
      <c r="L958" s="79"/>
      <c r="M958" s="79"/>
      <c r="AG958" s="79"/>
      <c r="AH958" s="79"/>
      <c r="BG958" s="233">
        <v>2044.2</v>
      </c>
      <c r="CI958" s="194">
        <v>7597.2</v>
      </c>
      <c r="DT958" s="99">
        <f t="shared" si="16"/>
        <v>0</v>
      </c>
    </row>
    <row r="959" spans="1:124" hidden="1" x14ac:dyDescent="0.3">
      <c r="A959" s="143" t="s">
        <v>790</v>
      </c>
      <c r="B959" s="13">
        <v>936</v>
      </c>
      <c r="C959" s="14" t="s">
        <v>209</v>
      </c>
      <c r="D959" s="6" t="s">
        <v>116</v>
      </c>
      <c r="E959" s="14" t="s">
        <v>796</v>
      </c>
      <c r="F959" s="14" t="s">
        <v>50</v>
      </c>
      <c r="G959" s="72">
        <f>G960</f>
        <v>0</v>
      </c>
      <c r="H959" s="116"/>
      <c r="I959" s="117"/>
      <c r="J959" s="116"/>
      <c r="K959" s="80"/>
      <c r="L959" s="79"/>
      <c r="M959" s="79"/>
      <c r="AG959" s="79"/>
      <c r="AH959" s="79"/>
      <c r="DT959" s="99">
        <f t="shared" si="16"/>
        <v>0</v>
      </c>
    </row>
    <row r="960" spans="1:124" hidden="1" x14ac:dyDescent="0.3">
      <c r="A960" s="163" t="s">
        <v>60</v>
      </c>
      <c r="B960" s="13">
        <v>936</v>
      </c>
      <c r="C960" s="14" t="s">
        <v>209</v>
      </c>
      <c r="D960" s="6" t="s">
        <v>116</v>
      </c>
      <c r="E960" s="14" t="s">
        <v>796</v>
      </c>
      <c r="F960" s="14" t="s">
        <v>61</v>
      </c>
      <c r="G960" s="72">
        <v>0</v>
      </c>
      <c r="H960" s="116"/>
      <c r="I960" s="117"/>
      <c r="J960" s="116"/>
      <c r="K960" s="80"/>
      <c r="L960" s="79"/>
      <c r="M960" s="79"/>
      <c r="AG960" s="79"/>
      <c r="AH960" s="79"/>
      <c r="BK960" s="226">
        <v>23484.2</v>
      </c>
      <c r="DT960" s="99">
        <f t="shared" si="16"/>
        <v>0</v>
      </c>
    </row>
    <row r="961" spans="1:124" ht="56.25" hidden="1" x14ac:dyDescent="0.3">
      <c r="A961" s="208" t="s">
        <v>16</v>
      </c>
      <c r="B961" s="49">
        <v>936</v>
      </c>
      <c r="C961" s="44" t="s">
        <v>209</v>
      </c>
      <c r="D961" s="73" t="s">
        <v>116</v>
      </c>
      <c r="E961" s="15" t="s">
        <v>32</v>
      </c>
      <c r="F961" s="15" t="s">
        <v>50</v>
      </c>
      <c r="G961" s="72">
        <f>G962</f>
        <v>0</v>
      </c>
      <c r="H961" s="116"/>
      <c r="I961" s="117"/>
      <c r="J961" s="116"/>
      <c r="K961" s="80"/>
      <c r="L961" s="79"/>
      <c r="M961" s="79"/>
      <c r="AG961" s="79"/>
      <c r="AH961" s="79"/>
      <c r="DT961" s="99">
        <f t="shared" si="16"/>
        <v>0</v>
      </c>
    </row>
    <row r="962" spans="1:124" hidden="1" x14ac:dyDescent="0.3">
      <c r="A962" s="143" t="s">
        <v>409</v>
      </c>
      <c r="B962" s="49">
        <v>936</v>
      </c>
      <c r="C962" s="44" t="s">
        <v>209</v>
      </c>
      <c r="D962" s="73" t="s">
        <v>116</v>
      </c>
      <c r="E962" s="14" t="s">
        <v>44</v>
      </c>
      <c r="F962" s="14" t="s">
        <v>50</v>
      </c>
      <c r="G962" s="72">
        <f>G963</f>
        <v>0</v>
      </c>
      <c r="H962" s="116"/>
      <c r="I962" s="117"/>
      <c r="J962" s="116"/>
      <c r="K962" s="80"/>
      <c r="L962" s="79"/>
      <c r="M962" s="79"/>
      <c r="AG962" s="79"/>
      <c r="AH962" s="79"/>
      <c r="DT962" s="99">
        <f t="shared" si="16"/>
        <v>0</v>
      </c>
    </row>
    <row r="963" spans="1:124" ht="30" hidden="1" customHeight="1" x14ac:dyDescent="0.3">
      <c r="A963" s="143" t="s">
        <v>184</v>
      </c>
      <c r="B963" s="49">
        <v>936</v>
      </c>
      <c r="C963" s="44" t="s">
        <v>209</v>
      </c>
      <c r="D963" s="73" t="s">
        <v>116</v>
      </c>
      <c r="E963" s="44" t="s">
        <v>185</v>
      </c>
      <c r="F963" s="44" t="s">
        <v>50</v>
      </c>
      <c r="G963" s="72">
        <f>G964</f>
        <v>0</v>
      </c>
      <c r="H963" s="116"/>
      <c r="I963" s="117"/>
      <c r="J963" s="116"/>
      <c r="K963" s="80"/>
      <c r="L963" s="79"/>
      <c r="M963" s="79"/>
      <c r="AG963" s="79"/>
      <c r="AH963" s="79"/>
      <c r="DT963" s="99">
        <f t="shared" si="16"/>
        <v>0</v>
      </c>
    </row>
    <row r="964" spans="1:124" ht="37.5" hidden="1" x14ac:dyDescent="0.3">
      <c r="A964" s="143" t="s">
        <v>425</v>
      </c>
      <c r="B964" s="49">
        <v>936</v>
      </c>
      <c r="C964" s="44" t="s">
        <v>209</v>
      </c>
      <c r="D964" s="73" t="s">
        <v>116</v>
      </c>
      <c r="E964" s="44" t="s">
        <v>185</v>
      </c>
      <c r="F964" s="44" t="s">
        <v>59</v>
      </c>
      <c r="G964" s="57">
        <v>0</v>
      </c>
      <c r="H964" s="125"/>
      <c r="I964" s="126"/>
      <c r="J964" s="125"/>
      <c r="K964" s="80"/>
      <c r="L964" s="79"/>
      <c r="M964" s="79"/>
      <c r="O964">
        <v>30000</v>
      </c>
      <c r="AG964" s="79"/>
      <c r="AH964" s="79"/>
      <c r="AK964" s="79">
        <v>0</v>
      </c>
      <c r="AN964" s="150">
        <v>17500</v>
      </c>
      <c r="AV964" s="194">
        <v>-1682.9664</v>
      </c>
      <c r="DT964" s="99">
        <f t="shared" si="16"/>
        <v>0</v>
      </c>
    </row>
    <row r="965" spans="1:124" ht="56.25" x14ac:dyDescent="0.3">
      <c r="A965" s="156" t="s">
        <v>20</v>
      </c>
      <c r="B965" s="13">
        <v>936</v>
      </c>
      <c r="C965" s="14" t="s">
        <v>209</v>
      </c>
      <c r="D965" s="6" t="s">
        <v>116</v>
      </c>
      <c r="E965" s="15" t="s">
        <v>21</v>
      </c>
      <c r="F965" s="14" t="s">
        <v>50</v>
      </c>
      <c r="G965" s="57">
        <f>G966</f>
        <v>119765</v>
      </c>
      <c r="H965" s="125"/>
      <c r="I965" s="126"/>
      <c r="J965" s="125"/>
      <c r="K965" s="80"/>
      <c r="L965" s="79"/>
      <c r="M965" s="79"/>
      <c r="AG965" s="79"/>
      <c r="AH965" s="79"/>
      <c r="DT965" s="99">
        <f t="shared" si="16"/>
        <v>0</v>
      </c>
    </row>
    <row r="966" spans="1:124" ht="56.25" x14ac:dyDescent="0.3">
      <c r="A966" s="143" t="s">
        <v>1130</v>
      </c>
      <c r="B966" s="13">
        <v>936</v>
      </c>
      <c r="C966" s="14" t="s">
        <v>209</v>
      </c>
      <c r="D966" s="6" t="s">
        <v>116</v>
      </c>
      <c r="E966" s="113" t="s">
        <v>1181</v>
      </c>
      <c r="F966" s="44" t="s">
        <v>50</v>
      </c>
      <c r="G966" s="57">
        <f>G967</f>
        <v>119765</v>
      </c>
      <c r="H966" s="125"/>
      <c r="I966" s="126"/>
      <c r="J966" s="125"/>
      <c r="K966" s="80"/>
      <c r="L966" s="79"/>
      <c r="M966" s="79"/>
      <c r="AG966" s="79"/>
      <c r="AH966" s="79"/>
      <c r="DT966" s="99">
        <f t="shared" si="16"/>
        <v>0</v>
      </c>
    </row>
    <row r="967" spans="1:124" ht="37.5" x14ac:dyDescent="0.3">
      <c r="A967" s="143" t="s">
        <v>58</v>
      </c>
      <c r="B967" s="13">
        <v>936</v>
      </c>
      <c r="C967" s="14" t="s">
        <v>209</v>
      </c>
      <c r="D967" s="6" t="s">
        <v>116</v>
      </c>
      <c r="E967" s="113" t="s">
        <v>1181</v>
      </c>
      <c r="F967" s="44" t="s">
        <v>59</v>
      </c>
      <c r="G967" s="57">
        <f>DN967</f>
        <v>119765</v>
      </c>
      <c r="H967" s="125"/>
      <c r="I967" s="126"/>
      <c r="J967" s="125"/>
      <c r="K967" s="80"/>
      <c r="L967" s="79"/>
      <c r="M967" s="79"/>
      <c r="AG967" s="79"/>
      <c r="AH967" s="79"/>
      <c r="DG967" s="194">
        <v>417240</v>
      </c>
      <c r="DN967" s="274">
        <v>119765</v>
      </c>
      <c r="DT967" s="99">
        <f t="shared" si="16"/>
        <v>119765</v>
      </c>
    </row>
    <row r="968" spans="1:124" x14ac:dyDescent="0.3">
      <c r="A968" s="155" t="s">
        <v>284</v>
      </c>
      <c r="B968" s="12">
        <v>936</v>
      </c>
      <c r="C968" s="9" t="s">
        <v>209</v>
      </c>
      <c r="D968" s="9" t="s">
        <v>117</v>
      </c>
      <c r="E968" s="12" t="s">
        <v>49</v>
      </c>
      <c r="F968" s="9" t="s">
        <v>50</v>
      </c>
      <c r="G968" s="68">
        <f>G996+G1108+G981+G986+G994</f>
        <v>161130.4</v>
      </c>
      <c r="H968" s="116"/>
      <c r="I968" s="117"/>
      <c r="J968" s="116"/>
      <c r="K968" s="80"/>
      <c r="L968" s="79"/>
      <c r="M968" s="79"/>
      <c r="AG968" s="79"/>
      <c r="AH968" s="79"/>
      <c r="DT968" s="99">
        <f t="shared" si="16"/>
        <v>0</v>
      </c>
    </row>
    <row r="969" spans="1:124" ht="47.25" hidden="1" customHeight="1" x14ac:dyDescent="0.3">
      <c r="A969" s="143" t="s">
        <v>38</v>
      </c>
      <c r="B969" s="13">
        <v>936</v>
      </c>
      <c r="C969" s="14" t="s">
        <v>209</v>
      </c>
      <c r="D969" s="6" t="s">
        <v>117</v>
      </c>
      <c r="E969" s="15" t="s">
        <v>25</v>
      </c>
      <c r="F969" s="14" t="s">
        <v>50</v>
      </c>
      <c r="G969" s="57">
        <f>G970</f>
        <v>0</v>
      </c>
      <c r="H969" s="116"/>
      <c r="I969" s="117"/>
      <c r="J969" s="116"/>
      <c r="K969" s="80"/>
      <c r="L969" s="79"/>
      <c r="M969" s="79"/>
      <c r="AG969" s="79"/>
      <c r="AH969" s="79"/>
      <c r="DT969" s="99">
        <f t="shared" si="16"/>
        <v>0</v>
      </c>
    </row>
    <row r="970" spans="1:124" ht="37.5" hidden="1" x14ac:dyDescent="0.3">
      <c r="A970" s="156" t="s">
        <v>141</v>
      </c>
      <c r="B970" s="13">
        <v>936</v>
      </c>
      <c r="C970" s="14" t="s">
        <v>209</v>
      </c>
      <c r="D970" s="6" t="s">
        <v>117</v>
      </c>
      <c r="E970" s="15" t="s">
        <v>79</v>
      </c>
      <c r="F970" s="15" t="s">
        <v>50</v>
      </c>
      <c r="G970" s="57">
        <f>G974+G971</f>
        <v>0</v>
      </c>
      <c r="H970" s="116"/>
      <c r="I970" s="117"/>
      <c r="J970" s="116"/>
      <c r="K970" s="80"/>
      <c r="L970" s="79"/>
      <c r="M970" s="79"/>
      <c r="AG970" s="79"/>
      <c r="AH970" s="79"/>
      <c r="DT970" s="99">
        <f t="shared" ref="DT970:DT1036" si="17">DN970+DO970+DP970+DQ970+DR970+DS970</f>
        <v>0</v>
      </c>
    </row>
    <row r="971" spans="1:124" hidden="1" x14ac:dyDescent="0.3">
      <c r="A971" s="143" t="s">
        <v>62</v>
      </c>
      <c r="B971" s="13">
        <v>936</v>
      </c>
      <c r="C971" s="14" t="s">
        <v>209</v>
      </c>
      <c r="D971" s="6" t="s">
        <v>117</v>
      </c>
      <c r="E971" s="15" t="s">
        <v>80</v>
      </c>
      <c r="F971" s="15" t="s">
        <v>50</v>
      </c>
      <c r="G971" s="57">
        <f>G972</f>
        <v>0</v>
      </c>
      <c r="H971" s="116"/>
      <c r="I971" s="117"/>
      <c r="J971" s="116"/>
      <c r="K971" s="80"/>
      <c r="L971" s="79"/>
      <c r="M971" s="79"/>
      <c r="AG971" s="79"/>
      <c r="AH971" s="79"/>
      <c r="DT971" s="99">
        <f t="shared" si="17"/>
        <v>0</v>
      </c>
    </row>
    <row r="972" spans="1:124" ht="56.25" hidden="1" x14ac:dyDescent="0.3">
      <c r="A972" s="143" t="s">
        <v>468</v>
      </c>
      <c r="B972" s="13">
        <v>936</v>
      </c>
      <c r="C972" s="14" t="s">
        <v>209</v>
      </c>
      <c r="D972" s="6" t="s">
        <v>117</v>
      </c>
      <c r="E972" s="15" t="s">
        <v>467</v>
      </c>
      <c r="F972" s="15" t="s">
        <v>50</v>
      </c>
      <c r="G972" s="57">
        <f>G973</f>
        <v>0</v>
      </c>
      <c r="H972" s="116"/>
      <c r="I972" s="117"/>
      <c r="J972" s="116"/>
      <c r="K972" s="80"/>
      <c r="L972" s="79"/>
      <c r="M972" s="79"/>
      <c r="AG972" s="79"/>
      <c r="AH972" s="79"/>
      <c r="DT972" s="99">
        <f t="shared" si="17"/>
        <v>0</v>
      </c>
    </row>
    <row r="973" spans="1:124" ht="37.5" hidden="1" x14ac:dyDescent="0.3">
      <c r="A973" s="143" t="s">
        <v>425</v>
      </c>
      <c r="B973" s="13">
        <v>936</v>
      </c>
      <c r="C973" s="14" t="s">
        <v>209</v>
      </c>
      <c r="D973" s="6" t="s">
        <v>117</v>
      </c>
      <c r="E973" s="15" t="s">
        <v>467</v>
      </c>
      <c r="F973" s="15" t="s">
        <v>59</v>
      </c>
      <c r="G973" s="57">
        <v>0</v>
      </c>
      <c r="H973" s="116"/>
      <c r="I973" s="117"/>
      <c r="J973" s="116"/>
      <c r="K973" s="80"/>
      <c r="L973" s="79"/>
      <c r="M973" s="79"/>
      <c r="AG973" s="79"/>
      <c r="AH973" s="79"/>
      <c r="DT973" s="99">
        <f t="shared" si="17"/>
        <v>0</v>
      </c>
    </row>
    <row r="974" spans="1:124" ht="26.25" hidden="1" customHeight="1" x14ac:dyDescent="0.3">
      <c r="A974" s="143" t="s">
        <v>419</v>
      </c>
      <c r="B974" s="13">
        <v>936</v>
      </c>
      <c r="C974" s="14" t="s">
        <v>209</v>
      </c>
      <c r="D974" s="6" t="s">
        <v>117</v>
      </c>
      <c r="E974" s="15" t="s">
        <v>420</v>
      </c>
      <c r="F974" s="15" t="s">
        <v>50</v>
      </c>
      <c r="G974" s="57">
        <f>G975</f>
        <v>0</v>
      </c>
      <c r="H974" s="116"/>
      <c r="I974" s="117"/>
      <c r="J974" s="116"/>
      <c r="K974" s="80"/>
      <c r="L974" s="79"/>
      <c r="M974" s="79"/>
      <c r="AG974" s="79"/>
      <c r="AH974" s="79"/>
      <c r="DT974" s="99">
        <f t="shared" si="17"/>
        <v>0</v>
      </c>
    </row>
    <row r="975" spans="1:124" ht="37.5" hidden="1" x14ac:dyDescent="0.3">
      <c r="A975" s="143" t="s">
        <v>425</v>
      </c>
      <c r="B975" s="13">
        <v>936</v>
      </c>
      <c r="C975" s="14" t="s">
        <v>209</v>
      </c>
      <c r="D975" s="6" t="s">
        <v>117</v>
      </c>
      <c r="E975" s="15" t="s">
        <v>420</v>
      </c>
      <c r="F975" s="14" t="s">
        <v>59</v>
      </c>
      <c r="G975" s="57">
        <v>0</v>
      </c>
      <c r="H975" s="116"/>
      <c r="I975" s="117"/>
      <c r="J975" s="116"/>
      <c r="K975" s="80"/>
      <c r="L975" s="79"/>
      <c r="M975" s="79"/>
      <c r="AG975" s="79"/>
      <c r="AH975" s="79"/>
      <c r="DT975" s="99">
        <f t="shared" si="17"/>
        <v>0</v>
      </c>
    </row>
    <row r="976" spans="1:124" ht="56.25" hidden="1" customHeight="1" outlineLevel="1" x14ac:dyDescent="0.3">
      <c r="A976" s="156" t="s">
        <v>0</v>
      </c>
      <c r="B976" s="13">
        <v>936</v>
      </c>
      <c r="C976" s="14" t="s">
        <v>209</v>
      </c>
      <c r="D976" s="14" t="s">
        <v>117</v>
      </c>
      <c r="E976" s="15" t="s">
        <v>92</v>
      </c>
      <c r="F976" s="14" t="s">
        <v>50</v>
      </c>
      <c r="G976" s="57">
        <f>G977</f>
        <v>0</v>
      </c>
      <c r="H976" s="116"/>
      <c r="I976" s="117"/>
      <c r="J976" s="116"/>
      <c r="K976" s="80"/>
      <c r="L976" s="79"/>
      <c r="M976" s="79"/>
      <c r="AG976" s="79"/>
      <c r="AH976" s="79"/>
      <c r="DT976" s="99">
        <f t="shared" si="17"/>
        <v>0</v>
      </c>
    </row>
    <row r="977" spans="1:124" ht="75" hidden="1" outlineLevel="1" x14ac:dyDescent="0.3">
      <c r="A977" s="156" t="s">
        <v>2</v>
      </c>
      <c r="B977" s="13">
        <v>936</v>
      </c>
      <c r="C977" s="14" t="s">
        <v>209</v>
      </c>
      <c r="D977" s="14" t="s">
        <v>117</v>
      </c>
      <c r="E977" s="15" t="s">
        <v>26</v>
      </c>
      <c r="F977" s="14" t="s">
        <v>50</v>
      </c>
      <c r="G977" s="57">
        <f>G978</f>
        <v>0</v>
      </c>
      <c r="H977" s="116"/>
      <c r="I977" s="117"/>
      <c r="J977" s="116"/>
      <c r="K977" s="80"/>
      <c r="L977" s="79"/>
      <c r="M977" s="79"/>
      <c r="AG977" s="79"/>
      <c r="AH977" s="79"/>
      <c r="DT977" s="99">
        <f t="shared" si="17"/>
        <v>0</v>
      </c>
    </row>
    <row r="978" spans="1:124" hidden="1" outlineLevel="1" x14ac:dyDescent="0.3">
      <c r="A978" s="176" t="s">
        <v>62</v>
      </c>
      <c r="B978" s="31" t="s">
        <v>285</v>
      </c>
      <c r="C978" s="31" t="s">
        <v>209</v>
      </c>
      <c r="D978" s="32" t="s">
        <v>117</v>
      </c>
      <c r="E978" s="31" t="s">
        <v>287</v>
      </c>
      <c r="F978" s="31" t="s">
        <v>50</v>
      </c>
      <c r="G978" s="57">
        <f>G979</f>
        <v>0</v>
      </c>
      <c r="H978" s="116"/>
      <c r="I978" s="117"/>
      <c r="J978" s="116"/>
      <c r="K978" s="80"/>
      <c r="L978" s="79"/>
      <c r="M978" s="79"/>
      <c r="AG978" s="79"/>
      <c r="AH978" s="79"/>
      <c r="DT978" s="99">
        <f t="shared" si="17"/>
        <v>0</v>
      </c>
    </row>
    <row r="979" spans="1:124" hidden="1" outlineLevel="1" x14ac:dyDescent="0.3">
      <c r="A979" s="176" t="s">
        <v>286</v>
      </c>
      <c r="B979" s="31" t="s">
        <v>285</v>
      </c>
      <c r="C979" s="31" t="s">
        <v>209</v>
      </c>
      <c r="D979" s="30" t="s">
        <v>117</v>
      </c>
      <c r="E979" s="31" t="s">
        <v>288</v>
      </c>
      <c r="F979" s="31" t="s">
        <v>50</v>
      </c>
      <c r="G979" s="57">
        <f>G980</f>
        <v>0</v>
      </c>
      <c r="H979" s="116"/>
      <c r="I979" s="117"/>
      <c r="J979" s="116"/>
      <c r="K979" s="80"/>
      <c r="L979" s="79"/>
      <c r="M979" s="79"/>
      <c r="AG979" s="79"/>
      <c r="AH979" s="79"/>
      <c r="DT979" s="99">
        <f t="shared" si="17"/>
        <v>0</v>
      </c>
    </row>
    <row r="980" spans="1:124" ht="37.5" hidden="1" outlineLevel="1" x14ac:dyDescent="0.3">
      <c r="A980" s="143" t="s">
        <v>425</v>
      </c>
      <c r="B980" s="31" t="s">
        <v>285</v>
      </c>
      <c r="C980" s="31" t="s">
        <v>209</v>
      </c>
      <c r="D980" s="30" t="s">
        <v>117</v>
      </c>
      <c r="E980" s="31" t="s">
        <v>288</v>
      </c>
      <c r="F980" s="31" t="s">
        <v>59</v>
      </c>
      <c r="G980" s="72">
        <f>60-60</f>
        <v>0</v>
      </c>
      <c r="H980" s="116"/>
      <c r="I980" s="117"/>
      <c r="J980" s="116"/>
      <c r="K980" s="80"/>
      <c r="L980" s="79"/>
      <c r="M980" s="79"/>
      <c r="AG980" s="79"/>
      <c r="AH980" s="79"/>
      <c r="DT980" s="99">
        <f t="shared" si="17"/>
        <v>0</v>
      </c>
    </row>
    <row r="981" spans="1:124" ht="56.25" hidden="1" outlineLevel="1" x14ac:dyDescent="0.3">
      <c r="A981" s="156" t="s">
        <v>0</v>
      </c>
      <c r="B981" s="13">
        <v>905</v>
      </c>
      <c r="C981" s="14" t="s">
        <v>209</v>
      </c>
      <c r="D981" s="14" t="s">
        <v>117</v>
      </c>
      <c r="E981" s="15" t="s">
        <v>92</v>
      </c>
      <c r="F981" s="14" t="s">
        <v>50</v>
      </c>
      <c r="G981" s="57">
        <f>G982</f>
        <v>0</v>
      </c>
      <c r="H981" s="116"/>
      <c r="I981" s="117"/>
      <c r="J981" s="116"/>
      <c r="K981" s="80"/>
      <c r="L981" s="79"/>
      <c r="M981" s="79"/>
      <c r="AG981" s="79"/>
      <c r="AH981" s="79"/>
      <c r="DT981" s="99">
        <f t="shared" si="17"/>
        <v>0</v>
      </c>
    </row>
    <row r="982" spans="1:124" ht="75" hidden="1" outlineLevel="1" x14ac:dyDescent="0.3">
      <c r="A982" s="156" t="s">
        <v>2</v>
      </c>
      <c r="B982" s="13">
        <v>905</v>
      </c>
      <c r="C982" s="14" t="s">
        <v>209</v>
      </c>
      <c r="D982" s="14" t="s">
        <v>117</v>
      </c>
      <c r="E982" s="15" t="s">
        <v>26</v>
      </c>
      <c r="F982" s="14" t="s">
        <v>50</v>
      </c>
      <c r="G982" s="57">
        <f>G983</f>
        <v>0</v>
      </c>
      <c r="H982" s="116"/>
      <c r="I982" s="117"/>
      <c r="J982" s="116"/>
      <c r="K982" s="80"/>
      <c r="L982" s="79"/>
      <c r="M982" s="79"/>
      <c r="AG982" s="79"/>
      <c r="AH982" s="79"/>
      <c r="DT982" s="99">
        <f t="shared" si="17"/>
        <v>0</v>
      </c>
    </row>
    <row r="983" spans="1:124" hidden="1" outlineLevel="1" x14ac:dyDescent="0.3">
      <c r="A983" s="176" t="s">
        <v>62</v>
      </c>
      <c r="B983" s="31" t="s">
        <v>285</v>
      </c>
      <c r="C983" s="31" t="s">
        <v>209</v>
      </c>
      <c r="D983" s="32" t="s">
        <v>117</v>
      </c>
      <c r="E983" s="31" t="s">
        <v>287</v>
      </c>
      <c r="F983" s="31" t="s">
        <v>50</v>
      </c>
      <c r="G983" s="57">
        <f>G984</f>
        <v>0</v>
      </c>
      <c r="H983" s="116"/>
      <c r="I983" s="117"/>
      <c r="J983" s="116"/>
      <c r="K983" s="80"/>
      <c r="L983" s="79"/>
      <c r="M983" s="79"/>
      <c r="AG983" s="79"/>
      <c r="AH983" s="79"/>
      <c r="DT983" s="99">
        <f t="shared" si="17"/>
        <v>0</v>
      </c>
    </row>
    <row r="984" spans="1:124" hidden="1" outlineLevel="1" x14ac:dyDescent="0.3">
      <c r="A984" s="176" t="s">
        <v>286</v>
      </c>
      <c r="B984" s="31" t="s">
        <v>285</v>
      </c>
      <c r="C984" s="31" t="s">
        <v>209</v>
      </c>
      <c r="D984" s="30" t="s">
        <v>117</v>
      </c>
      <c r="E984" s="31" t="s">
        <v>288</v>
      </c>
      <c r="F984" s="31" t="s">
        <v>50</v>
      </c>
      <c r="G984" s="57">
        <f>G985</f>
        <v>0</v>
      </c>
      <c r="H984" s="116"/>
      <c r="I984" s="117"/>
      <c r="J984" s="116"/>
      <c r="K984" s="80"/>
      <c r="L984" s="79"/>
      <c r="M984" s="79"/>
      <c r="AG984" s="79"/>
      <c r="AH984" s="79"/>
      <c r="DT984" s="99">
        <f t="shared" si="17"/>
        <v>0</v>
      </c>
    </row>
    <row r="985" spans="1:124" ht="37.5" hidden="1" outlineLevel="1" x14ac:dyDescent="0.3">
      <c r="A985" s="143" t="s">
        <v>425</v>
      </c>
      <c r="B985" s="31" t="s">
        <v>285</v>
      </c>
      <c r="C985" s="31" t="s">
        <v>209</v>
      </c>
      <c r="D985" s="30" t="s">
        <v>117</v>
      </c>
      <c r="E985" s="31" t="s">
        <v>288</v>
      </c>
      <c r="F985" s="31" t="s">
        <v>59</v>
      </c>
      <c r="G985" s="72">
        <f>N985+T985</f>
        <v>0</v>
      </c>
      <c r="H985" s="116"/>
      <c r="I985" s="117"/>
      <c r="J985" s="116"/>
      <c r="K985" s="80"/>
      <c r="L985" s="79"/>
      <c r="M985" s="79"/>
      <c r="N985">
        <v>120</v>
      </c>
      <c r="T985">
        <v>-120</v>
      </c>
      <c r="AG985" s="79"/>
      <c r="AH985" s="79"/>
      <c r="DT985" s="99">
        <f t="shared" si="17"/>
        <v>0</v>
      </c>
    </row>
    <row r="986" spans="1:124" ht="56.25" hidden="1" outlineLevel="1" x14ac:dyDescent="0.3">
      <c r="A986" s="156" t="s">
        <v>158</v>
      </c>
      <c r="B986" s="31" t="s">
        <v>285</v>
      </c>
      <c r="C986" s="31" t="s">
        <v>209</v>
      </c>
      <c r="D986" s="30" t="s">
        <v>117</v>
      </c>
      <c r="E986" s="15" t="s">
        <v>85</v>
      </c>
      <c r="F986" s="31" t="s">
        <v>50</v>
      </c>
      <c r="G986" s="72">
        <f>G987</f>
        <v>0</v>
      </c>
      <c r="H986" s="116"/>
      <c r="I986" s="117"/>
      <c r="J986" s="116"/>
      <c r="K986" s="80"/>
      <c r="L986" s="79"/>
      <c r="M986" s="79"/>
      <c r="AG986" s="79"/>
      <c r="AH986" s="79"/>
      <c r="DT986" s="99">
        <f t="shared" si="17"/>
        <v>0</v>
      </c>
    </row>
    <row r="987" spans="1:124" hidden="1" outlineLevel="1" x14ac:dyDescent="0.3">
      <c r="A987" s="143" t="s">
        <v>409</v>
      </c>
      <c r="B987" s="31" t="s">
        <v>285</v>
      </c>
      <c r="C987" s="31" t="s">
        <v>209</v>
      </c>
      <c r="D987" s="30" t="s">
        <v>117</v>
      </c>
      <c r="E987" s="14" t="s">
        <v>90</v>
      </c>
      <c r="F987" s="31" t="s">
        <v>50</v>
      </c>
      <c r="G987" s="72">
        <f>G988+G990</f>
        <v>0</v>
      </c>
      <c r="H987" s="116"/>
      <c r="I987" s="117"/>
      <c r="J987" s="116"/>
      <c r="K987" s="80"/>
      <c r="L987" s="79"/>
      <c r="M987" s="79"/>
      <c r="AG987" s="79"/>
      <c r="AH987" s="79"/>
      <c r="DT987" s="99">
        <f t="shared" si="17"/>
        <v>0</v>
      </c>
    </row>
    <row r="988" spans="1:124" ht="46.5" hidden="1" customHeight="1" outlineLevel="1" x14ac:dyDescent="0.3">
      <c r="A988" s="143" t="s">
        <v>682</v>
      </c>
      <c r="B988" s="31" t="s">
        <v>285</v>
      </c>
      <c r="C988" s="31" t="s">
        <v>209</v>
      </c>
      <c r="D988" s="30" t="s">
        <v>117</v>
      </c>
      <c r="E988" s="31" t="s">
        <v>681</v>
      </c>
      <c r="F988" s="31" t="s">
        <v>50</v>
      </c>
      <c r="G988" s="72">
        <f>G989</f>
        <v>0</v>
      </c>
      <c r="H988" s="116"/>
      <c r="I988" s="117"/>
      <c r="J988" s="116"/>
      <c r="K988" s="80"/>
      <c r="L988" s="79"/>
      <c r="M988" s="79"/>
      <c r="AG988" s="79"/>
      <c r="AH988" s="79"/>
      <c r="DT988" s="99">
        <f t="shared" si="17"/>
        <v>0</v>
      </c>
    </row>
    <row r="989" spans="1:124" ht="37.5" hidden="1" outlineLevel="1" x14ac:dyDescent="0.3">
      <c r="A989" s="143" t="s">
        <v>425</v>
      </c>
      <c r="B989" s="31" t="s">
        <v>285</v>
      </c>
      <c r="C989" s="31" t="s">
        <v>209</v>
      </c>
      <c r="D989" s="30" t="s">
        <v>117</v>
      </c>
      <c r="E989" s="31" t="s">
        <v>681</v>
      </c>
      <c r="F989" s="31" t="s">
        <v>59</v>
      </c>
      <c r="G989" s="72">
        <v>0</v>
      </c>
      <c r="H989" s="116"/>
      <c r="I989" s="117">
        <v>1672.9</v>
      </c>
      <c r="J989" s="116">
        <v>16.899999999999999</v>
      </c>
      <c r="K989" s="80"/>
      <c r="L989" s="79"/>
      <c r="M989" s="79"/>
      <c r="AG989" s="79"/>
      <c r="AH989" s="79"/>
      <c r="AO989" s="150">
        <v>0.1</v>
      </c>
      <c r="BC989" s="226">
        <v>-164.9</v>
      </c>
      <c r="BD989" s="226">
        <v>-1.5</v>
      </c>
      <c r="DT989" s="99">
        <f t="shared" si="17"/>
        <v>0</v>
      </c>
    </row>
    <row r="990" spans="1:124" hidden="1" outlineLevel="1" x14ac:dyDescent="0.3">
      <c r="A990" s="163" t="s">
        <v>62</v>
      </c>
      <c r="B990" s="31" t="s">
        <v>285</v>
      </c>
      <c r="C990" s="31" t="s">
        <v>209</v>
      </c>
      <c r="D990" s="30" t="s">
        <v>117</v>
      </c>
      <c r="E990" s="31" t="s">
        <v>310</v>
      </c>
      <c r="F990" s="31" t="s">
        <v>50</v>
      </c>
      <c r="G990" s="72">
        <f>G991</f>
        <v>0</v>
      </c>
      <c r="H990" s="116"/>
      <c r="I990" s="117"/>
      <c r="J990" s="116"/>
      <c r="K990" s="80"/>
      <c r="L990" s="79"/>
      <c r="M990" s="79"/>
      <c r="AG990" s="79"/>
      <c r="AH990" s="79"/>
      <c r="DT990" s="99">
        <f t="shared" si="17"/>
        <v>0</v>
      </c>
    </row>
    <row r="991" spans="1:124" ht="37.5" hidden="1" outlineLevel="1" x14ac:dyDescent="0.3">
      <c r="A991" s="163" t="s">
        <v>352</v>
      </c>
      <c r="B991" s="31" t="s">
        <v>285</v>
      </c>
      <c r="C991" s="31" t="s">
        <v>209</v>
      </c>
      <c r="D991" s="30" t="s">
        <v>117</v>
      </c>
      <c r="E991" s="31" t="s">
        <v>750</v>
      </c>
      <c r="F991" s="31" t="s">
        <v>50</v>
      </c>
      <c r="G991" s="72">
        <f>G992</f>
        <v>0</v>
      </c>
      <c r="H991" s="116"/>
      <c r="I991" s="117"/>
      <c r="J991" s="116"/>
      <c r="K991" s="80"/>
      <c r="L991" s="79"/>
      <c r="M991" s="79"/>
      <c r="AG991" s="79"/>
      <c r="AH991" s="79"/>
      <c r="DT991" s="99">
        <f t="shared" si="17"/>
        <v>0</v>
      </c>
    </row>
    <row r="992" spans="1:124" ht="37.5" hidden="1" outlineLevel="1" x14ac:dyDescent="0.3">
      <c r="A992" s="143" t="s">
        <v>425</v>
      </c>
      <c r="B992" s="31" t="s">
        <v>285</v>
      </c>
      <c r="C992" s="31" t="s">
        <v>209</v>
      </c>
      <c r="D992" s="30" t="s">
        <v>117</v>
      </c>
      <c r="E992" s="31" t="s">
        <v>750</v>
      </c>
      <c r="F992" s="31" t="s">
        <v>59</v>
      </c>
      <c r="G992" s="72"/>
      <c r="H992" s="116"/>
      <c r="I992" s="117"/>
      <c r="J992" s="116"/>
      <c r="K992" s="80"/>
      <c r="L992" s="79"/>
      <c r="M992" s="79"/>
      <c r="AG992" s="79"/>
      <c r="AH992" s="79"/>
      <c r="AV992" s="194">
        <v>22.672999999999998</v>
      </c>
      <c r="DT992" s="99">
        <f t="shared" si="17"/>
        <v>0</v>
      </c>
    </row>
    <row r="993" spans="1:125" ht="56.25" outlineLevel="1" x14ac:dyDescent="0.3">
      <c r="A993" s="156" t="s">
        <v>158</v>
      </c>
      <c r="B993" s="31" t="s">
        <v>285</v>
      </c>
      <c r="C993" s="31" t="s">
        <v>209</v>
      </c>
      <c r="D993" s="30" t="s">
        <v>117</v>
      </c>
      <c r="E993" s="31" t="s">
        <v>85</v>
      </c>
      <c r="F993" s="31" t="s">
        <v>50</v>
      </c>
      <c r="G993" s="72">
        <f>G994</f>
        <v>541.1</v>
      </c>
      <c r="H993" s="116"/>
      <c r="I993" s="117"/>
      <c r="J993" s="116"/>
      <c r="K993" s="80"/>
      <c r="L993" s="79"/>
      <c r="M993" s="79"/>
      <c r="AG993" s="79"/>
      <c r="AH993" s="79"/>
      <c r="DT993" s="99"/>
    </row>
    <row r="994" spans="1:125" ht="67.5" customHeight="1" outlineLevel="1" x14ac:dyDescent="0.3">
      <c r="A994" s="143" t="s">
        <v>1193</v>
      </c>
      <c r="B994" s="31" t="s">
        <v>285</v>
      </c>
      <c r="C994" s="31" t="s">
        <v>209</v>
      </c>
      <c r="D994" s="30" t="s">
        <v>117</v>
      </c>
      <c r="E994" s="31" t="s">
        <v>1194</v>
      </c>
      <c r="F994" s="31" t="s">
        <v>50</v>
      </c>
      <c r="G994" s="72">
        <f>G995</f>
        <v>541.1</v>
      </c>
      <c r="H994" s="116"/>
      <c r="I994" s="117"/>
      <c r="J994" s="116"/>
      <c r="K994" s="80"/>
      <c r="L994" s="79"/>
      <c r="M994" s="79"/>
      <c r="AG994" s="79"/>
      <c r="AH994" s="79"/>
      <c r="DT994" s="99"/>
    </row>
    <row r="995" spans="1:125" ht="37.5" outlineLevel="1" x14ac:dyDescent="0.3">
      <c r="A995" s="143" t="s">
        <v>58</v>
      </c>
      <c r="B995" s="31" t="s">
        <v>285</v>
      </c>
      <c r="C995" s="31" t="s">
        <v>209</v>
      </c>
      <c r="D995" s="30" t="s">
        <v>117</v>
      </c>
      <c r="E995" s="31" t="s">
        <v>1194</v>
      </c>
      <c r="F995" s="31" t="s">
        <v>59</v>
      </c>
      <c r="G995" s="72">
        <f>DU995</f>
        <v>541.1</v>
      </c>
      <c r="H995" s="116"/>
      <c r="I995" s="117"/>
      <c r="J995" s="116"/>
      <c r="K995" s="80"/>
      <c r="L995" s="79"/>
      <c r="M995" s="79"/>
      <c r="AG995" s="79"/>
      <c r="AH995" s="79"/>
      <c r="DT995" s="99"/>
      <c r="DU995" s="270">
        <v>541.1</v>
      </c>
    </row>
    <row r="996" spans="1:125" ht="42" customHeight="1" x14ac:dyDescent="0.3">
      <c r="A996" s="156" t="s">
        <v>161</v>
      </c>
      <c r="B996" s="31" t="s">
        <v>285</v>
      </c>
      <c r="C996" s="31" t="s">
        <v>209</v>
      </c>
      <c r="D996" s="30" t="s">
        <v>117</v>
      </c>
      <c r="E996" s="15" t="s">
        <v>99</v>
      </c>
      <c r="F996" s="31" t="s">
        <v>50</v>
      </c>
      <c r="G996" s="57">
        <f>G997+G1014+G1012</f>
        <v>31951.5</v>
      </c>
      <c r="H996" s="116"/>
      <c r="I996" s="117"/>
      <c r="J996" s="116"/>
      <c r="K996" s="80"/>
      <c r="L996" s="79"/>
      <c r="M996" s="79"/>
      <c r="AG996" s="79"/>
      <c r="AH996" s="79"/>
      <c r="DT996" s="99">
        <f t="shared" si="17"/>
        <v>0</v>
      </c>
    </row>
    <row r="997" spans="1:125" ht="37.5" x14ac:dyDescent="0.3">
      <c r="A997" s="162" t="s">
        <v>10</v>
      </c>
      <c r="B997" s="31" t="s">
        <v>285</v>
      </c>
      <c r="C997" s="31" t="s">
        <v>209</v>
      </c>
      <c r="D997" s="30" t="s">
        <v>117</v>
      </c>
      <c r="E997" s="15" t="s">
        <v>28</v>
      </c>
      <c r="F997" s="31" t="s">
        <v>50</v>
      </c>
      <c r="G997" s="57">
        <f>G998+G1007+G1010+G1005+G1105+G1107</f>
        <v>31951.5</v>
      </c>
      <c r="H997" s="116"/>
      <c r="I997" s="117"/>
      <c r="J997" s="116"/>
      <c r="K997" s="80"/>
      <c r="L997" s="79"/>
      <c r="M997" s="79"/>
      <c r="AG997" s="79"/>
      <c r="AH997" s="79"/>
      <c r="DT997" s="99">
        <f t="shared" si="17"/>
        <v>0</v>
      </c>
    </row>
    <row r="998" spans="1:125" x14ac:dyDescent="0.3">
      <c r="A998" s="143" t="s">
        <v>62</v>
      </c>
      <c r="B998" s="13">
        <v>936</v>
      </c>
      <c r="C998" s="14" t="s">
        <v>209</v>
      </c>
      <c r="D998" s="14" t="s">
        <v>117</v>
      </c>
      <c r="E998" s="14" t="s">
        <v>282</v>
      </c>
      <c r="F998" s="14" t="s">
        <v>50</v>
      </c>
      <c r="G998" s="57">
        <f>G999+G1002</f>
        <v>31951.5</v>
      </c>
      <c r="H998" s="116"/>
      <c r="I998" s="117"/>
      <c r="J998" s="116"/>
      <c r="K998" s="80"/>
      <c r="L998" s="79"/>
      <c r="M998" s="79"/>
      <c r="AG998" s="79"/>
      <c r="AH998" s="79"/>
      <c r="DT998" s="99">
        <f t="shared" si="17"/>
        <v>0</v>
      </c>
    </row>
    <row r="999" spans="1:125" x14ac:dyDescent="0.3">
      <c r="A999" s="143" t="s">
        <v>289</v>
      </c>
      <c r="B999" s="13">
        <v>936</v>
      </c>
      <c r="C999" s="14" t="s">
        <v>209</v>
      </c>
      <c r="D999" s="14" t="s">
        <v>117</v>
      </c>
      <c r="E999" s="14" t="s">
        <v>292</v>
      </c>
      <c r="F999" s="14" t="s">
        <v>50</v>
      </c>
      <c r="G999" s="57">
        <f>G1000+G1001</f>
        <v>31951.5</v>
      </c>
      <c r="H999" s="116"/>
      <c r="I999" s="117"/>
      <c r="J999" s="116"/>
      <c r="K999" s="80"/>
      <c r="L999" s="79"/>
      <c r="M999" s="79"/>
      <c r="AG999" s="79"/>
      <c r="AH999" s="79"/>
      <c r="DT999" s="99">
        <f t="shared" si="17"/>
        <v>0</v>
      </c>
    </row>
    <row r="1000" spans="1:125" ht="37.5" x14ac:dyDescent="0.3">
      <c r="A1000" s="143" t="s">
        <v>425</v>
      </c>
      <c r="B1000" s="13">
        <v>936</v>
      </c>
      <c r="C1000" s="14" t="s">
        <v>209</v>
      </c>
      <c r="D1000" s="14" t="s">
        <v>117</v>
      </c>
      <c r="E1000" s="14" t="s">
        <v>292</v>
      </c>
      <c r="F1000" s="14" t="s">
        <v>59</v>
      </c>
      <c r="G1000" s="72">
        <f>DT1000</f>
        <v>31951.5</v>
      </c>
      <c r="H1000" s="116">
        <f>6746.2+500+4000+600+165+500+1800</f>
        <v>14311.2</v>
      </c>
      <c r="I1000" s="117"/>
      <c r="J1000" s="116"/>
      <c r="K1000" s="80"/>
      <c r="L1000" s="79"/>
      <c r="M1000" s="79">
        <f>98+2500+500+1500+300+398</f>
        <v>5296</v>
      </c>
      <c r="N1000">
        <v>0</v>
      </c>
      <c r="T1000">
        <f>3970+75+2800+885.5+1250+252+500</f>
        <v>9732.5</v>
      </c>
      <c r="U1000">
        <v>-483</v>
      </c>
      <c r="W1000">
        <v>-215</v>
      </c>
      <c r="Z1000">
        <f>-29.67975+38.44</f>
        <v>8.7602499999999992</v>
      </c>
      <c r="AC1000">
        <f>48.88+600</f>
        <v>648.88</v>
      </c>
      <c r="AG1000" s="79"/>
      <c r="AH1000" s="79">
        <v>97.76</v>
      </c>
      <c r="AK1000" s="79">
        <f>6546.7+3749.5+800</f>
        <v>11096.2</v>
      </c>
      <c r="AR1000" s="194">
        <v>-145.72627</v>
      </c>
      <c r="AS1000" s="194">
        <f>6190+500+166+1600</f>
        <v>8456</v>
      </c>
      <c r="AV1000" s="194">
        <f>500+500+300+240</f>
        <v>1540</v>
      </c>
      <c r="AX1000" s="101">
        <f>500+600+166</f>
        <v>1266</v>
      </c>
      <c r="AY1000" s="226">
        <v>-1760.07439</v>
      </c>
      <c r="AZ1000" s="226">
        <f>166+600</f>
        <v>766</v>
      </c>
      <c r="BE1000" s="226">
        <v>126.56438</v>
      </c>
      <c r="BH1000" s="233">
        <f>200+700-160+510.2</f>
        <v>1250.2</v>
      </c>
      <c r="BJ1000" s="194">
        <f>672.8+120</f>
        <v>792.8</v>
      </c>
      <c r="BK1000" s="226">
        <f>-120+1076.53+0.1</f>
        <v>956.63</v>
      </c>
      <c r="BL1000" s="194">
        <f>1500+1350</f>
        <v>2850</v>
      </c>
      <c r="BN1000" s="237">
        <f>800+800+4150+900+100+166+101+5017</f>
        <v>12034</v>
      </c>
      <c r="BU1000" s="151">
        <v>1000</v>
      </c>
      <c r="BX1000" s="151">
        <f>6060.7+1200</f>
        <v>7260.7</v>
      </c>
      <c r="CB1000" s="226">
        <f>200-367.48601</f>
        <v>-167.48601000000002</v>
      </c>
      <c r="CC1000" s="245">
        <v>-42.6</v>
      </c>
      <c r="CD1000" s="226">
        <f>600+6510+1727.2+166.2</f>
        <v>9003.4000000000015</v>
      </c>
      <c r="CF1000" s="194">
        <f>836+1000+203</f>
        <v>2039</v>
      </c>
      <c r="CH1000" s="258">
        <f>69.8+504+480+646.9+1339.2+600</f>
        <v>3639.8999999999996</v>
      </c>
      <c r="CJ1000" s="194">
        <f>1071.56+250+186</f>
        <v>1507.56</v>
      </c>
      <c r="CP1000" s="259">
        <f>-20+910</f>
        <v>890</v>
      </c>
      <c r="CR1000" s="99">
        <f>750+50+600+6000+900+243+901+166+150+500</f>
        <v>10260</v>
      </c>
      <c r="CS1000" s="264">
        <v>5727.8</v>
      </c>
      <c r="CU1000" s="258">
        <f>300+3516.205</f>
        <v>3816.2049999999999</v>
      </c>
      <c r="CV1000" s="268">
        <f>180+100+599+275.7+340+2000</f>
        <v>3494.7</v>
      </c>
      <c r="CX1000" s="270">
        <f>400+430.9-7</f>
        <v>823.9</v>
      </c>
      <c r="CY1000" s="194">
        <f>450+500+100+470+600+110+200+300</f>
        <v>2730</v>
      </c>
      <c r="CZ1000" s="194">
        <f>450+4000+100+179.2+1150+400+375+80</f>
        <v>6734.2</v>
      </c>
      <c r="DC1000" s="194">
        <f>1050+200+600+250</f>
        <v>2100</v>
      </c>
      <c r="DD1000" s="194">
        <v>109.67877</v>
      </c>
      <c r="DE1000" s="194">
        <v>-202.25656000000001</v>
      </c>
      <c r="DF1000" s="194">
        <f>600+179.2</f>
        <v>779.2</v>
      </c>
      <c r="DH1000" s="194">
        <f>10+1010+1700+266</f>
        <v>2986</v>
      </c>
      <c r="DL1000" s="270">
        <v>300</v>
      </c>
      <c r="DP1000" s="99">
        <v>12441.3</v>
      </c>
      <c r="DS1000" s="99">
        <f>450+599+13200+477.6+49.2+150+480+1195.4+200+750+50+900+243+166+600</f>
        <v>19510.2</v>
      </c>
      <c r="DT1000" s="99">
        <f t="shared" si="17"/>
        <v>31951.5</v>
      </c>
    </row>
    <row r="1001" spans="1:125" hidden="1" x14ac:dyDescent="0.3">
      <c r="A1001" s="163" t="s">
        <v>60</v>
      </c>
      <c r="B1001" s="13">
        <v>936</v>
      </c>
      <c r="C1001" s="14" t="s">
        <v>209</v>
      </c>
      <c r="D1001" s="14" t="s">
        <v>117</v>
      </c>
      <c r="E1001" s="14" t="s">
        <v>292</v>
      </c>
      <c r="F1001" s="14" t="s">
        <v>61</v>
      </c>
      <c r="G1001" s="72">
        <v>0</v>
      </c>
      <c r="H1001" s="116">
        <v>6907</v>
      </c>
      <c r="I1001" s="117"/>
      <c r="J1001" s="116"/>
      <c r="K1001" s="80"/>
      <c r="L1001" s="79"/>
      <c r="M1001" s="79"/>
      <c r="AG1001" s="79"/>
      <c r="AH1001" s="79"/>
      <c r="BN1001" s="237">
        <v>12367</v>
      </c>
      <c r="CR1001" s="99">
        <v>7254</v>
      </c>
      <c r="CU1001" s="258">
        <v>854.6</v>
      </c>
      <c r="CZ1001" s="194">
        <v>7</v>
      </c>
      <c r="DT1001" s="99">
        <f t="shared" si="17"/>
        <v>0</v>
      </c>
    </row>
    <row r="1002" spans="1:125" ht="26.25" hidden="1" customHeight="1" x14ac:dyDescent="0.3">
      <c r="A1002" s="183" t="s">
        <v>584</v>
      </c>
      <c r="B1002" s="13">
        <v>936</v>
      </c>
      <c r="C1002" s="14" t="s">
        <v>209</v>
      </c>
      <c r="D1002" s="14" t="s">
        <v>117</v>
      </c>
      <c r="E1002" s="14" t="s">
        <v>579</v>
      </c>
      <c r="F1002" s="14" t="s">
        <v>50</v>
      </c>
      <c r="G1002" s="72">
        <f>G1003+G1004</f>
        <v>0</v>
      </c>
      <c r="H1002" s="116"/>
      <c r="I1002" s="117"/>
      <c r="J1002" s="116"/>
      <c r="K1002" s="80"/>
      <c r="L1002" s="79"/>
      <c r="M1002" s="79"/>
      <c r="AG1002" s="79"/>
      <c r="AH1002" s="79"/>
      <c r="DT1002" s="99">
        <f t="shared" si="17"/>
        <v>0</v>
      </c>
    </row>
    <row r="1003" spans="1:125" ht="37.5" hidden="1" x14ac:dyDescent="0.3">
      <c r="A1003" s="143" t="s">
        <v>425</v>
      </c>
      <c r="B1003" s="13">
        <v>936</v>
      </c>
      <c r="C1003" s="14" t="s">
        <v>209</v>
      </c>
      <c r="D1003" s="14" t="s">
        <v>117</v>
      </c>
      <c r="E1003" s="14" t="s">
        <v>579</v>
      </c>
      <c r="F1003" s="14" t="s">
        <v>59</v>
      </c>
      <c r="G1003" s="72">
        <f>N1003-500</f>
        <v>0</v>
      </c>
      <c r="H1003" s="116"/>
      <c r="I1003" s="117"/>
      <c r="J1003" s="116"/>
      <c r="K1003" s="80"/>
      <c r="L1003" s="79"/>
      <c r="M1003" s="79"/>
      <c r="N1003">
        <v>500</v>
      </c>
      <c r="AG1003" s="79"/>
      <c r="AH1003" s="79"/>
      <c r="DT1003" s="99">
        <f t="shared" si="17"/>
        <v>0</v>
      </c>
    </row>
    <row r="1004" spans="1:125" ht="46.5" hidden="1" customHeight="1" x14ac:dyDescent="0.3">
      <c r="A1004" s="143" t="s">
        <v>264</v>
      </c>
      <c r="B1004" s="13">
        <v>936</v>
      </c>
      <c r="C1004" s="14" t="s">
        <v>209</v>
      </c>
      <c r="D1004" s="14" t="s">
        <v>117</v>
      </c>
      <c r="E1004" s="14" t="s">
        <v>579</v>
      </c>
      <c r="F1004" s="14" t="s">
        <v>261</v>
      </c>
      <c r="G1004" s="72">
        <v>0</v>
      </c>
      <c r="H1004" s="116"/>
      <c r="I1004" s="117"/>
      <c r="J1004" s="116"/>
      <c r="K1004" s="80"/>
      <c r="L1004" s="79"/>
      <c r="M1004" s="79"/>
      <c r="AG1004" s="79"/>
      <c r="AH1004" s="79"/>
      <c r="AK1004" s="79">
        <v>0</v>
      </c>
      <c r="DT1004" s="99">
        <f t="shared" si="17"/>
        <v>0</v>
      </c>
    </row>
    <row r="1005" spans="1:125" ht="36" hidden="1" customHeight="1" x14ac:dyDescent="0.3">
      <c r="A1005" s="143" t="s">
        <v>184</v>
      </c>
      <c r="B1005" s="13">
        <v>936</v>
      </c>
      <c r="C1005" s="14" t="s">
        <v>209</v>
      </c>
      <c r="D1005" s="14" t="s">
        <v>117</v>
      </c>
      <c r="E1005" s="14" t="s">
        <v>794</v>
      </c>
      <c r="F1005" s="14" t="s">
        <v>50</v>
      </c>
      <c r="G1005" s="72">
        <f>G1006</f>
        <v>0</v>
      </c>
      <c r="H1005" s="116"/>
      <c r="I1005" s="117"/>
      <c r="J1005" s="116"/>
      <c r="K1005" s="80"/>
      <c r="L1005" s="79"/>
      <c r="M1005" s="79"/>
      <c r="AG1005" s="79"/>
      <c r="AH1005" s="79"/>
      <c r="DT1005" s="99">
        <f t="shared" si="17"/>
        <v>0</v>
      </c>
    </row>
    <row r="1006" spans="1:125" ht="46.5" hidden="1" customHeight="1" x14ac:dyDescent="0.3">
      <c r="A1006" s="143" t="s">
        <v>425</v>
      </c>
      <c r="B1006" s="13">
        <v>936</v>
      </c>
      <c r="C1006" s="14" t="s">
        <v>209</v>
      </c>
      <c r="D1006" s="14" t="s">
        <v>117</v>
      </c>
      <c r="E1006" s="14" t="s">
        <v>794</v>
      </c>
      <c r="F1006" s="14" t="s">
        <v>59</v>
      </c>
      <c r="G1006" s="72">
        <v>0</v>
      </c>
      <c r="H1006" s="116"/>
      <c r="I1006" s="117"/>
      <c r="J1006" s="116"/>
      <c r="K1006" s="80"/>
      <c r="L1006" s="79"/>
      <c r="M1006" s="79"/>
      <c r="AG1006" s="79"/>
      <c r="AH1006" s="79"/>
      <c r="DT1006" s="99">
        <f t="shared" si="17"/>
        <v>0</v>
      </c>
    </row>
    <row r="1007" spans="1:125" ht="75" hidden="1" x14ac:dyDescent="0.3">
      <c r="A1007" s="143" t="s">
        <v>249</v>
      </c>
      <c r="B1007" s="13">
        <v>936</v>
      </c>
      <c r="C1007" s="14" t="s">
        <v>209</v>
      </c>
      <c r="D1007" s="14" t="s">
        <v>117</v>
      </c>
      <c r="E1007" s="14" t="s">
        <v>626</v>
      </c>
      <c r="F1007" s="14" t="s">
        <v>50</v>
      </c>
      <c r="G1007" s="72">
        <f>G1008</f>
        <v>0</v>
      </c>
      <c r="H1007" s="116"/>
      <c r="I1007" s="117"/>
      <c r="J1007" s="116"/>
      <c r="K1007" s="80"/>
      <c r="L1007" s="79"/>
      <c r="M1007" s="79"/>
      <c r="AG1007" s="79"/>
      <c r="AH1007" s="79"/>
      <c r="DT1007" s="99">
        <f t="shared" si="17"/>
        <v>0</v>
      </c>
    </row>
    <row r="1008" spans="1:125" ht="37.5" hidden="1" x14ac:dyDescent="0.3">
      <c r="A1008" s="184" t="s">
        <v>624</v>
      </c>
      <c r="B1008" s="13">
        <v>936</v>
      </c>
      <c r="C1008" s="14" t="s">
        <v>209</v>
      </c>
      <c r="D1008" s="14" t="s">
        <v>117</v>
      </c>
      <c r="E1008" s="14" t="s">
        <v>625</v>
      </c>
      <c r="F1008" s="14" t="s">
        <v>50</v>
      </c>
      <c r="G1008" s="72">
        <f>G1009</f>
        <v>0</v>
      </c>
      <c r="H1008" s="116"/>
      <c r="I1008" s="117"/>
      <c r="J1008" s="116"/>
      <c r="K1008" s="80"/>
      <c r="L1008" s="79"/>
      <c r="M1008" s="79"/>
      <c r="AG1008" s="79"/>
      <c r="AH1008" s="79"/>
      <c r="DT1008" s="99">
        <f t="shared" si="17"/>
        <v>0</v>
      </c>
    </row>
    <row r="1009" spans="1:124" ht="37.5" hidden="1" x14ac:dyDescent="0.3">
      <c r="A1009" s="143" t="s">
        <v>425</v>
      </c>
      <c r="B1009" s="13">
        <v>936</v>
      </c>
      <c r="C1009" s="14" t="s">
        <v>209</v>
      </c>
      <c r="D1009" s="14" t="s">
        <v>117</v>
      </c>
      <c r="E1009" s="14" t="s">
        <v>625</v>
      </c>
      <c r="F1009" s="14" t="s">
        <v>59</v>
      </c>
      <c r="G1009" s="72">
        <v>0</v>
      </c>
      <c r="H1009" s="116"/>
      <c r="I1009" s="117">
        <v>3462.3</v>
      </c>
      <c r="J1009" s="116"/>
      <c r="K1009" s="80"/>
      <c r="L1009" s="79"/>
      <c r="M1009" s="79"/>
      <c r="AG1009" s="79"/>
      <c r="AH1009" s="79"/>
      <c r="AK1009" s="79">
        <v>0</v>
      </c>
      <c r="DT1009" s="99">
        <f t="shared" si="17"/>
        <v>0</v>
      </c>
    </row>
    <row r="1010" spans="1:124" ht="37.5" hidden="1" x14ac:dyDescent="0.3">
      <c r="A1010" s="184" t="s">
        <v>646</v>
      </c>
      <c r="B1010" s="13">
        <v>936</v>
      </c>
      <c r="C1010" s="14" t="s">
        <v>209</v>
      </c>
      <c r="D1010" s="14" t="s">
        <v>117</v>
      </c>
      <c r="E1010" s="14" t="s">
        <v>645</v>
      </c>
      <c r="F1010" s="14" t="s">
        <v>50</v>
      </c>
      <c r="G1010" s="72">
        <f>G1011</f>
        <v>0</v>
      </c>
      <c r="H1010" s="116"/>
      <c r="I1010" s="117"/>
      <c r="J1010" s="116"/>
      <c r="K1010" s="80"/>
      <c r="L1010" s="79"/>
      <c r="M1010" s="79"/>
      <c r="AG1010" s="79"/>
      <c r="AH1010" s="79"/>
      <c r="DT1010" s="99">
        <f t="shared" si="17"/>
        <v>0</v>
      </c>
    </row>
    <row r="1011" spans="1:124" ht="37.5" hidden="1" x14ac:dyDescent="0.3">
      <c r="A1011" s="143" t="s">
        <v>425</v>
      </c>
      <c r="B1011" s="13">
        <v>936</v>
      </c>
      <c r="C1011" s="14" t="s">
        <v>209</v>
      </c>
      <c r="D1011" s="14" t="s">
        <v>117</v>
      </c>
      <c r="E1011" s="14" t="s">
        <v>645</v>
      </c>
      <c r="F1011" s="14" t="s">
        <v>59</v>
      </c>
      <c r="G1011" s="72">
        <v>0</v>
      </c>
      <c r="H1011" s="116"/>
      <c r="I1011" s="117"/>
      <c r="J1011" s="116">
        <v>36.5</v>
      </c>
      <c r="K1011" s="80"/>
      <c r="L1011" s="79"/>
      <c r="M1011" s="79"/>
      <c r="Z1011">
        <v>35</v>
      </c>
      <c r="AG1011" s="79"/>
      <c r="AH1011" s="79"/>
      <c r="AK1011" s="79">
        <v>0</v>
      </c>
      <c r="AR1011" s="194">
        <v>145.72627</v>
      </c>
      <c r="DT1011" s="99">
        <f t="shared" si="17"/>
        <v>0</v>
      </c>
    </row>
    <row r="1012" spans="1:124" ht="78.75" hidden="1" customHeight="1" x14ac:dyDescent="0.3">
      <c r="A1012" s="232" t="s">
        <v>961</v>
      </c>
      <c r="B1012" s="13">
        <v>936</v>
      </c>
      <c r="C1012" s="14" t="s">
        <v>209</v>
      </c>
      <c r="D1012" s="14" t="s">
        <v>117</v>
      </c>
      <c r="E1012" s="14" t="s">
        <v>1116</v>
      </c>
      <c r="F1012" s="14" t="s">
        <v>50</v>
      </c>
      <c r="G1012" s="72">
        <f>G1013</f>
        <v>0</v>
      </c>
      <c r="H1012" s="116"/>
      <c r="I1012" s="117"/>
      <c r="J1012" s="116"/>
      <c r="K1012" s="80"/>
      <c r="L1012" s="79"/>
      <c r="M1012" s="79"/>
      <c r="AG1012" s="79"/>
      <c r="AH1012" s="79"/>
      <c r="DT1012" s="99">
        <f t="shared" si="17"/>
        <v>0</v>
      </c>
    </row>
    <row r="1013" spans="1:124" ht="37.5" hidden="1" x14ac:dyDescent="0.3">
      <c r="A1013" s="143" t="s">
        <v>425</v>
      </c>
      <c r="B1013" s="13">
        <v>936</v>
      </c>
      <c r="C1013" s="14" t="s">
        <v>209</v>
      </c>
      <c r="D1013" s="14" t="s">
        <v>117</v>
      </c>
      <c r="E1013" s="14" t="s">
        <v>1116</v>
      </c>
      <c r="F1013" s="14" t="s">
        <v>59</v>
      </c>
      <c r="G1013" s="72">
        <v>0</v>
      </c>
      <c r="H1013" s="116"/>
      <c r="I1013" s="117"/>
      <c r="J1013" s="116"/>
      <c r="K1013" s="80"/>
      <c r="L1013" s="79"/>
      <c r="M1013" s="79"/>
      <c r="AG1013" s="79"/>
      <c r="AH1013" s="79"/>
      <c r="CV1013" s="268">
        <v>2500</v>
      </c>
      <c r="DT1013" s="99">
        <f t="shared" si="17"/>
        <v>0</v>
      </c>
    </row>
    <row r="1014" spans="1:124" ht="61.5" hidden="1" customHeight="1" x14ac:dyDescent="0.3">
      <c r="A1014" s="156" t="s">
        <v>11</v>
      </c>
      <c r="B1014" s="13">
        <v>936</v>
      </c>
      <c r="C1014" s="14" t="s">
        <v>209</v>
      </c>
      <c r="D1014" s="14" t="s">
        <v>117</v>
      </c>
      <c r="E1014" s="15" t="s">
        <v>29</v>
      </c>
      <c r="F1014" s="14" t="s">
        <v>50</v>
      </c>
      <c r="G1014" s="57">
        <f>G1015+G1025+G1046++G1018+G1021+G1069+G1023</f>
        <v>0</v>
      </c>
      <c r="H1014" s="116"/>
      <c r="I1014" s="117"/>
      <c r="J1014" s="116"/>
      <c r="K1014" s="80"/>
      <c r="L1014" s="79"/>
      <c r="M1014" s="79"/>
      <c r="AG1014" s="79"/>
      <c r="AH1014" s="79"/>
      <c r="DT1014" s="99">
        <f t="shared" si="17"/>
        <v>0</v>
      </c>
    </row>
    <row r="1015" spans="1:124" ht="30" hidden="1" customHeight="1" x14ac:dyDescent="0.3">
      <c r="A1015" s="143" t="s">
        <v>62</v>
      </c>
      <c r="B1015" s="13">
        <v>936</v>
      </c>
      <c r="C1015" s="14" t="s">
        <v>209</v>
      </c>
      <c r="D1015" s="14" t="s">
        <v>117</v>
      </c>
      <c r="E1015" s="14" t="s">
        <v>251</v>
      </c>
      <c r="F1015" s="14" t="s">
        <v>50</v>
      </c>
      <c r="G1015" s="57">
        <f>G1016</f>
        <v>0</v>
      </c>
      <c r="H1015" s="116"/>
      <c r="I1015" s="117"/>
      <c r="J1015" s="116"/>
      <c r="K1015" s="80"/>
      <c r="L1015" s="79"/>
      <c r="M1015" s="79"/>
      <c r="AG1015" s="79"/>
      <c r="AH1015" s="79"/>
      <c r="DT1015" s="99">
        <f t="shared" si="17"/>
        <v>0</v>
      </c>
    </row>
    <row r="1016" spans="1:124" ht="37.5" hidden="1" x14ac:dyDescent="0.3">
      <c r="A1016" s="143" t="s">
        <v>64</v>
      </c>
      <c r="B1016" s="13">
        <v>936</v>
      </c>
      <c r="C1016" s="14" t="s">
        <v>209</v>
      </c>
      <c r="D1016" s="14" t="s">
        <v>117</v>
      </c>
      <c r="E1016" s="14" t="s">
        <v>252</v>
      </c>
      <c r="F1016" s="14" t="s">
        <v>50</v>
      </c>
      <c r="G1016" s="57">
        <f>G1017</f>
        <v>0</v>
      </c>
      <c r="H1016" s="116"/>
      <c r="I1016" s="117"/>
      <c r="J1016" s="116"/>
      <c r="K1016" s="80"/>
      <c r="L1016" s="79"/>
      <c r="M1016" s="79"/>
      <c r="AG1016" s="79"/>
      <c r="AH1016" s="79"/>
      <c r="DT1016" s="99">
        <f t="shared" si="17"/>
        <v>0</v>
      </c>
    </row>
    <row r="1017" spans="1:124" ht="37.5" hidden="1" x14ac:dyDescent="0.3">
      <c r="A1017" s="143" t="s">
        <v>58</v>
      </c>
      <c r="B1017" s="13">
        <v>936</v>
      </c>
      <c r="C1017" s="14" t="s">
        <v>209</v>
      </c>
      <c r="D1017" s="14" t="s">
        <v>117</v>
      </c>
      <c r="E1017" s="14" t="s">
        <v>252</v>
      </c>
      <c r="F1017" s="14" t="s">
        <v>59</v>
      </c>
      <c r="G1017" s="57">
        <f>BU1017</f>
        <v>0</v>
      </c>
      <c r="H1017" s="116"/>
      <c r="I1017" s="117"/>
      <c r="J1017" s="116"/>
      <c r="K1017" s="80"/>
      <c r="L1017" s="79"/>
      <c r="M1017" s="79"/>
      <c r="AG1017" s="79"/>
      <c r="AH1017" s="79"/>
      <c r="DT1017" s="99">
        <f t="shared" si="17"/>
        <v>0</v>
      </c>
    </row>
    <row r="1018" spans="1:124" ht="55.5" hidden="1" customHeight="1" x14ac:dyDescent="0.3">
      <c r="A1018" s="143" t="s">
        <v>249</v>
      </c>
      <c r="B1018" s="144">
        <v>936</v>
      </c>
      <c r="C1018" s="111" t="s">
        <v>209</v>
      </c>
      <c r="D1018" s="111" t="s">
        <v>117</v>
      </c>
      <c r="E1018" s="111" t="s">
        <v>254</v>
      </c>
      <c r="F1018" s="111" t="s">
        <v>50</v>
      </c>
      <c r="G1018" s="87">
        <f>G1019</f>
        <v>0</v>
      </c>
      <c r="H1018" s="116"/>
      <c r="I1018" s="117"/>
      <c r="J1018" s="116"/>
      <c r="K1018" s="80"/>
      <c r="L1018" s="79"/>
      <c r="M1018" s="79"/>
      <c r="AG1018" s="79"/>
      <c r="AH1018" s="79"/>
      <c r="DT1018" s="99">
        <f t="shared" si="17"/>
        <v>0</v>
      </c>
    </row>
    <row r="1019" spans="1:124" ht="56.25" hidden="1" x14ac:dyDescent="0.3">
      <c r="A1019" s="143" t="s">
        <v>253</v>
      </c>
      <c r="B1019" s="144">
        <v>936</v>
      </c>
      <c r="C1019" s="111" t="s">
        <v>209</v>
      </c>
      <c r="D1019" s="111" t="s">
        <v>117</v>
      </c>
      <c r="E1019" s="111" t="s">
        <v>255</v>
      </c>
      <c r="F1019" s="111" t="s">
        <v>50</v>
      </c>
      <c r="G1019" s="87">
        <f>G1020</f>
        <v>0</v>
      </c>
      <c r="H1019" s="116"/>
      <c r="I1019" s="117"/>
      <c r="J1019" s="116"/>
      <c r="K1019" s="80"/>
      <c r="L1019" s="79"/>
      <c r="M1019" s="79"/>
      <c r="AG1019" s="79"/>
      <c r="AH1019" s="79"/>
      <c r="DT1019" s="99">
        <f t="shared" si="17"/>
        <v>0</v>
      </c>
    </row>
    <row r="1020" spans="1:124" ht="37.5" hidden="1" x14ac:dyDescent="0.3">
      <c r="A1020" s="143" t="s">
        <v>425</v>
      </c>
      <c r="B1020" s="144">
        <v>936</v>
      </c>
      <c r="C1020" s="111" t="s">
        <v>209</v>
      </c>
      <c r="D1020" s="111" t="s">
        <v>117</v>
      </c>
      <c r="E1020" s="111" t="s">
        <v>255</v>
      </c>
      <c r="F1020" s="111" t="s">
        <v>59</v>
      </c>
      <c r="G1020" s="87">
        <f>BT1020</f>
        <v>0</v>
      </c>
      <c r="H1020" s="116"/>
      <c r="I1020" s="117"/>
      <c r="J1020" s="116"/>
      <c r="K1020" s="80"/>
      <c r="L1020" s="79"/>
      <c r="M1020" s="79"/>
      <c r="AG1020" s="79"/>
      <c r="AH1020" s="79"/>
      <c r="DT1020" s="99">
        <f t="shared" si="17"/>
        <v>0</v>
      </c>
    </row>
    <row r="1021" spans="1:124" ht="65.25" hidden="1" customHeight="1" x14ac:dyDescent="0.3">
      <c r="A1021" s="156" t="s">
        <v>569</v>
      </c>
      <c r="B1021" s="13">
        <v>936</v>
      </c>
      <c r="C1021" s="14" t="s">
        <v>209</v>
      </c>
      <c r="D1021" s="14" t="s">
        <v>117</v>
      </c>
      <c r="E1021" s="14" t="s">
        <v>256</v>
      </c>
      <c r="F1021" s="14" t="s">
        <v>50</v>
      </c>
      <c r="G1021" s="87">
        <f>G1022</f>
        <v>0</v>
      </c>
      <c r="H1021" s="116"/>
      <c r="I1021" s="117"/>
      <c r="J1021" s="116"/>
      <c r="K1021" s="80"/>
      <c r="L1021" s="79"/>
      <c r="M1021" s="79"/>
      <c r="AG1021" s="79"/>
      <c r="AH1021" s="79"/>
      <c r="DT1021" s="99">
        <f t="shared" si="17"/>
        <v>0</v>
      </c>
    </row>
    <row r="1022" spans="1:124" ht="37.5" hidden="1" x14ac:dyDescent="0.3">
      <c r="A1022" s="143" t="s">
        <v>425</v>
      </c>
      <c r="B1022" s="13">
        <v>936</v>
      </c>
      <c r="C1022" s="14" t="s">
        <v>209</v>
      </c>
      <c r="D1022" s="14" t="s">
        <v>117</v>
      </c>
      <c r="E1022" s="14" t="s">
        <v>256</v>
      </c>
      <c r="F1022" s="14" t="s">
        <v>59</v>
      </c>
      <c r="G1022" s="72">
        <f>BU1022</f>
        <v>0</v>
      </c>
      <c r="H1022" s="116"/>
      <c r="I1022" s="117"/>
      <c r="J1022" s="116"/>
      <c r="K1022" s="80"/>
      <c r="L1022" s="79"/>
      <c r="M1022" s="79">
        <v>100</v>
      </c>
      <c r="Z1022">
        <v>-100</v>
      </c>
      <c r="AG1022" s="79"/>
      <c r="AH1022" s="79"/>
      <c r="DT1022" s="99">
        <f t="shared" si="17"/>
        <v>0</v>
      </c>
    </row>
    <row r="1023" spans="1:124" hidden="1" x14ac:dyDescent="0.3">
      <c r="A1023" s="143" t="s">
        <v>289</v>
      </c>
      <c r="B1023" s="13">
        <v>936</v>
      </c>
      <c r="C1023" s="14" t="s">
        <v>209</v>
      </c>
      <c r="D1023" s="14" t="s">
        <v>117</v>
      </c>
      <c r="E1023" s="44" t="s">
        <v>647</v>
      </c>
      <c r="F1023" s="44" t="s">
        <v>50</v>
      </c>
      <c r="G1023" s="72">
        <f>G1024</f>
        <v>0</v>
      </c>
      <c r="H1023" s="116"/>
      <c r="I1023" s="117"/>
      <c r="J1023" s="116"/>
      <c r="K1023" s="80"/>
      <c r="L1023" s="79"/>
      <c r="M1023" s="79"/>
      <c r="AG1023" s="79"/>
      <c r="AH1023" s="79"/>
      <c r="DT1023" s="99">
        <f t="shared" si="17"/>
        <v>0</v>
      </c>
    </row>
    <row r="1024" spans="1:124" ht="37.5" hidden="1" x14ac:dyDescent="0.3">
      <c r="A1024" s="143" t="s">
        <v>425</v>
      </c>
      <c r="B1024" s="13">
        <v>936</v>
      </c>
      <c r="C1024" s="14" t="s">
        <v>209</v>
      </c>
      <c r="D1024" s="14" t="s">
        <v>117</v>
      </c>
      <c r="E1024" s="44" t="s">
        <v>647</v>
      </c>
      <c r="F1024" s="44" t="s">
        <v>59</v>
      </c>
      <c r="G1024" s="72">
        <v>0</v>
      </c>
      <c r="H1024" s="116"/>
      <c r="I1024" s="117"/>
      <c r="J1024" s="116"/>
      <c r="K1024" s="80"/>
      <c r="L1024" s="79"/>
      <c r="M1024" s="79"/>
      <c r="AG1024" s="79"/>
      <c r="AH1024" s="79"/>
      <c r="AQ1024" s="151">
        <v>-1419.9430400000001</v>
      </c>
      <c r="BD1024" s="226">
        <v>81.400000000000006</v>
      </c>
      <c r="BX1024" s="151">
        <v>200</v>
      </c>
      <c r="CG1024" s="194">
        <v>150</v>
      </c>
      <c r="DE1024" s="194">
        <v>275</v>
      </c>
      <c r="DH1024" s="194">
        <v>62</v>
      </c>
      <c r="DT1024" s="99">
        <f t="shared" si="17"/>
        <v>0</v>
      </c>
    </row>
    <row r="1025" spans="1:124" ht="75" hidden="1" x14ac:dyDescent="0.3">
      <c r="A1025" s="143" t="s">
        <v>249</v>
      </c>
      <c r="B1025" s="13">
        <v>936</v>
      </c>
      <c r="C1025" s="14" t="s">
        <v>209</v>
      </c>
      <c r="D1025" s="14" t="s">
        <v>117</v>
      </c>
      <c r="E1025" s="14" t="s">
        <v>823</v>
      </c>
      <c r="F1025" s="14" t="s">
        <v>50</v>
      </c>
      <c r="G1025" s="72">
        <f>G1026+G1028</f>
        <v>0</v>
      </c>
      <c r="H1025" s="116"/>
      <c r="I1025" s="117"/>
      <c r="J1025" s="116"/>
      <c r="K1025" s="80"/>
      <c r="L1025" s="79"/>
      <c r="M1025" s="79"/>
      <c r="AG1025" s="79"/>
      <c r="AH1025" s="79"/>
      <c r="CA1025" s="226">
        <v>8.8999999999999996E-2</v>
      </c>
      <c r="DT1025" s="99">
        <f t="shared" si="17"/>
        <v>0</v>
      </c>
    </row>
    <row r="1026" spans="1:124" ht="117" hidden="1" customHeight="1" x14ac:dyDescent="0.3">
      <c r="A1026" s="143" t="s">
        <v>1095</v>
      </c>
      <c r="B1026" s="13">
        <v>936</v>
      </c>
      <c r="C1026" s="14" t="s">
        <v>209</v>
      </c>
      <c r="D1026" s="14" t="s">
        <v>117</v>
      </c>
      <c r="E1026" s="14" t="s">
        <v>981</v>
      </c>
      <c r="F1026" s="14" t="s">
        <v>50</v>
      </c>
      <c r="G1026" s="72">
        <f>G1027</f>
        <v>0</v>
      </c>
      <c r="H1026" s="116"/>
      <c r="I1026" s="117"/>
      <c r="J1026" s="116"/>
      <c r="K1026" s="80"/>
      <c r="L1026" s="79"/>
      <c r="M1026" s="79"/>
      <c r="AG1026" s="79"/>
      <c r="AH1026" s="79"/>
      <c r="DT1026" s="99">
        <f t="shared" si="17"/>
        <v>0</v>
      </c>
    </row>
    <row r="1027" spans="1:124" ht="37.5" hidden="1" x14ac:dyDescent="0.3">
      <c r="A1027" s="143" t="s">
        <v>425</v>
      </c>
      <c r="B1027" s="13">
        <v>936</v>
      </c>
      <c r="C1027" s="14" t="s">
        <v>209</v>
      </c>
      <c r="D1027" s="14" t="s">
        <v>117</v>
      </c>
      <c r="E1027" s="14" t="s">
        <v>981</v>
      </c>
      <c r="F1027" s="14" t="s">
        <v>59</v>
      </c>
      <c r="G1027" s="72">
        <v>0</v>
      </c>
      <c r="H1027" s="116"/>
      <c r="I1027" s="117"/>
      <c r="J1027" s="116"/>
      <c r="K1027" s="80">
        <v>892</v>
      </c>
      <c r="L1027" s="79"/>
      <c r="M1027" s="79"/>
      <c r="Z1027">
        <v>-422.3</v>
      </c>
      <c r="AG1027" s="79">
        <v>-233.55133000000001</v>
      </c>
      <c r="AH1027" s="79"/>
      <c r="AK1027" s="79">
        <v>0</v>
      </c>
      <c r="AP1027" s="151">
        <v>1500</v>
      </c>
      <c r="CT1027" s="258">
        <v>379.77499999999998</v>
      </c>
      <c r="DF1027" s="194">
        <v>-2.6</v>
      </c>
      <c r="DT1027" s="99">
        <f t="shared" si="17"/>
        <v>0</v>
      </c>
    </row>
    <row r="1028" spans="1:124" ht="131.25" hidden="1" x14ac:dyDescent="0.3">
      <c r="A1028" s="143" t="s">
        <v>1109</v>
      </c>
      <c r="B1028" s="13">
        <v>936</v>
      </c>
      <c r="C1028" s="14" t="s">
        <v>209</v>
      </c>
      <c r="D1028" s="14" t="s">
        <v>117</v>
      </c>
      <c r="E1028" s="14" t="s">
        <v>982</v>
      </c>
      <c r="F1028" s="14" t="s">
        <v>50</v>
      </c>
      <c r="G1028" s="72">
        <f>G1029</f>
        <v>0</v>
      </c>
      <c r="H1028" s="116"/>
      <c r="I1028" s="117"/>
      <c r="J1028" s="116"/>
      <c r="K1028" s="80"/>
      <c r="L1028" s="79"/>
      <c r="M1028" s="79"/>
      <c r="AG1028" s="79"/>
      <c r="AH1028" s="79"/>
      <c r="DT1028" s="99">
        <f t="shared" si="17"/>
        <v>0</v>
      </c>
    </row>
    <row r="1029" spans="1:124" ht="37.5" hidden="1" x14ac:dyDescent="0.3">
      <c r="A1029" s="143" t="s">
        <v>425</v>
      </c>
      <c r="B1029" s="13">
        <v>936</v>
      </c>
      <c r="C1029" s="14" t="s">
        <v>209</v>
      </c>
      <c r="D1029" s="14" t="s">
        <v>117</v>
      </c>
      <c r="E1029" s="14" t="s">
        <v>982</v>
      </c>
      <c r="F1029" s="14" t="s">
        <v>59</v>
      </c>
      <c r="G1029" s="72">
        <v>0</v>
      </c>
      <c r="H1029" s="116"/>
      <c r="I1029" s="117"/>
      <c r="J1029" s="116"/>
      <c r="K1029" s="80">
        <v>847</v>
      </c>
      <c r="L1029" s="79"/>
      <c r="M1029" s="79"/>
      <c r="AG1029" s="79"/>
      <c r="AH1029" s="79"/>
      <c r="AK1029" s="79">
        <v>0</v>
      </c>
      <c r="AP1029" s="151">
        <v>1374.6759999999999</v>
      </c>
      <c r="CT1029" s="258">
        <v>950</v>
      </c>
      <c r="DF1029" s="194">
        <v>-19.100000000000001</v>
      </c>
      <c r="DT1029" s="99">
        <f t="shared" si="17"/>
        <v>0</v>
      </c>
    </row>
    <row r="1030" spans="1:124" ht="112.5" hidden="1" x14ac:dyDescent="0.3">
      <c r="A1030" s="143" t="s">
        <v>828</v>
      </c>
      <c r="B1030" s="13">
        <v>936</v>
      </c>
      <c r="C1030" s="44" t="s">
        <v>209</v>
      </c>
      <c r="D1030" s="44" t="s">
        <v>117</v>
      </c>
      <c r="E1030" s="14" t="s">
        <v>832</v>
      </c>
      <c r="F1030" s="14" t="s">
        <v>50</v>
      </c>
      <c r="G1030" s="72">
        <f>G1031</f>
        <v>0</v>
      </c>
      <c r="H1030" s="116"/>
      <c r="I1030" s="117"/>
      <c r="J1030" s="116"/>
      <c r="K1030" s="80"/>
      <c r="L1030" s="79"/>
      <c r="M1030" s="79"/>
      <c r="AG1030" s="79"/>
      <c r="AH1030" s="79"/>
      <c r="DT1030" s="99">
        <f t="shared" si="17"/>
        <v>0</v>
      </c>
    </row>
    <row r="1031" spans="1:124" ht="37.5" hidden="1" x14ac:dyDescent="0.3">
      <c r="A1031" s="143" t="s">
        <v>425</v>
      </c>
      <c r="B1031" s="13">
        <v>936</v>
      </c>
      <c r="C1031" s="44" t="s">
        <v>209</v>
      </c>
      <c r="D1031" s="44" t="s">
        <v>117</v>
      </c>
      <c r="E1031" s="14" t="s">
        <v>832</v>
      </c>
      <c r="F1031" s="44" t="s">
        <v>59</v>
      </c>
      <c r="G1031" s="57">
        <v>0</v>
      </c>
      <c r="H1031" s="116"/>
      <c r="I1031" s="117"/>
      <c r="J1031" s="116"/>
      <c r="K1031" s="80">
        <v>1000</v>
      </c>
      <c r="L1031" s="79"/>
      <c r="M1031" s="79"/>
      <c r="AG1031" s="79"/>
      <c r="AH1031" s="79"/>
      <c r="AK1031" s="79">
        <v>0</v>
      </c>
      <c r="AP1031" s="151">
        <v>1500</v>
      </c>
      <c r="DT1031" s="99">
        <f t="shared" si="17"/>
        <v>0</v>
      </c>
    </row>
    <row r="1032" spans="1:124" ht="112.5" hidden="1" x14ac:dyDescent="0.3">
      <c r="A1032" s="143" t="s">
        <v>707</v>
      </c>
      <c r="B1032" s="13">
        <v>936</v>
      </c>
      <c r="C1032" s="44" t="s">
        <v>209</v>
      </c>
      <c r="D1032" s="44" t="s">
        <v>117</v>
      </c>
      <c r="E1032" s="44" t="s">
        <v>706</v>
      </c>
      <c r="F1032" s="14" t="s">
        <v>50</v>
      </c>
      <c r="G1032" s="57">
        <f>G1033</f>
        <v>0</v>
      </c>
      <c r="H1032" s="116"/>
      <c r="I1032" s="117"/>
      <c r="J1032" s="116"/>
      <c r="K1032" s="80"/>
      <c r="L1032" s="79"/>
      <c r="M1032" s="79"/>
      <c r="AG1032" s="79"/>
      <c r="AH1032" s="79"/>
      <c r="DT1032" s="99">
        <f t="shared" si="17"/>
        <v>0</v>
      </c>
    </row>
    <row r="1033" spans="1:124" ht="37.5" hidden="1" x14ac:dyDescent="0.3">
      <c r="A1033" s="143" t="s">
        <v>425</v>
      </c>
      <c r="B1033" s="13">
        <v>936</v>
      </c>
      <c r="C1033" s="44" t="s">
        <v>209</v>
      </c>
      <c r="D1033" s="44" t="s">
        <v>117</v>
      </c>
      <c r="E1033" s="44" t="s">
        <v>706</v>
      </c>
      <c r="F1033" s="44" t="s">
        <v>59</v>
      </c>
      <c r="G1033" s="57">
        <v>0</v>
      </c>
      <c r="H1033" s="116"/>
      <c r="I1033" s="117"/>
      <c r="J1033" s="116"/>
      <c r="K1033" s="80">
        <v>1000</v>
      </c>
      <c r="L1033" s="79"/>
      <c r="M1033" s="79"/>
      <c r="AG1033" s="79"/>
      <c r="AH1033" s="79"/>
      <c r="AK1033" s="79">
        <v>0</v>
      </c>
      <c r="AP1033" s="151">
        <v>1010.4880000000001</v>
      </c>
      <c r="DT1033" s="99">
        <f t="shared" si="17"/>
        <v>0</v>
      </c>
    </row>
    <row r="1034" spans="1:124" ht="112.5" hidden="1" x14ac:dyDescent="0.3">
      <c r="A1034" s="143" t="s">
        <v>709</v>
      </c>
      <c r="B1034" s="13">
        <v>936</v>
      </c>
      <c r="C1034" s="44" t="s">
        <v>209</v>
      </c>
      <c r="D1034" s="44" t="s">
        <v>117</v>
      </c>
      <c r="E1034" s="44" t="s">
        <v>708</v>
      </c>
      <c r="F1034" s="14" t="s">
        <v>50</v>
      </c>
      <c r="G1034" s="57">
        <f>G1035</f>
        <v>0</v>
      </c>
      <c r="H1034" s="116"/>
      <c r="I1034" s="117"/>
      <c r="J1034" s="116"/>
      <c r="K1034" s="80"/>
      <c r="L1034" s="79"/>
      <c r="M1034" s="79"/>
      <c r="AG1034" s="79"/>
      <c r="AH1034" s="79"/>
      <c r="DT1034" s="99">
        <f t="shared" si="17"/>
        <v>0</v>
      </c>
    </row>
    <row r="1035" spans="1:124" ht="37.5" hidden="1" x14ac:dyDescent="0.3">
      <c r="A1035" s="143" t="s">
        <v>425</v>
      </c>
      <c r="B1035" s="13">
        <v>936</v>
      </c>
      <c r="C1035" s="44" t="s">
        <v>209</v>
      </c>
      <c r="D1035" s="44" t="s">
        <v>117</v>
      </c>
      <c r="E1035" s="44" t="s">
        <v>708</v>
      </c>
      <c r="F1035" s="44" t="s">
        <v>59</v>
      </c>
      <c r="G1035" s="57">
        <v>0</v>
      </c>
      <c r="H1035" s="116"/>
      <c r="I1035" s="117"/>
      <c r="J1035" s="116"/>
      <c r="K1035" s="80"/>
      <c r="L1035" s="79"/>
      <c r="M1035" s="79"/>
      <c r="AG1035" s="79"/>
      <c r="AH1035" s="79"/>
      <c r="AP1035" s="151">
        <v>927.822</v>
      </c>
      <c r="DT1035" s="99">
        <f t="shared" si="17"/>
        <v>0</v>
      </c>
    </row>
    <row r="1036" spans="1:124" ht="105.75" hidden="1" customHeight="1" x14ac:dyDescent="0.3">
      <c r="A1036" s="143" t="s">
        <v>754</v>
      </c>
      <c r="B1036" s="13">
        <v>936</v>
      </c>
      <c r="C1036" s="44" t="s">
        <v>209</v>
      </c>
      <c r="D1036" s="44" t="s">
        <v>117</v>
      </c>
      <c r="E1036" s="44" t="s">
        <v>751</v>
      </c>
      <c r="F1036" s="14" t="s">
        <v>50</v>
      </c>
      <c r="G1036" s="57">
        <f>G1037</f>
        <v>0</v>
      </c>
      <c r="H1036" s="116"/>
      <c r="I1036" s="117"/>
      <c r="J1036" s="116"/>
      <c r="K1036" s="80"/>
      <c r="L1036" s="79"/>
      <c r="M1036" s="79"/>
      <c r="AG1036" s="79"/>
      <c r="AH1036" s="79"/>
      <c r="DT1036" s="99">
        <f t="shared" si="17"/>
        <v>0</v>
      </c>
    </row>
    <row r="1037" spans="1:124" ht="37.5" hidden="1" x14ac:dyDescent="0.3">
      <c r="A1037" s="143" t="s">
        <v>425</v>
      </c>
      <c r="B1037" s="13">
        <v>936</v>
      </c>
      <c r="C1037" s="44" t="s">
        <v>209</v>
      </c>
      <c r="D1037" s="44" t="s">
        <v>117</v>
      </c>
      <c r="E1037" s="44" t="s">
        <v>751</v>
      </c>
      <c r="F1037" s="44" t="s">
        <v>59</v>
      </c>
      <c r="G1037" s="57">
        <v>0</v>
      </c>
      <c r="H1037" s="116"/>
      <c r="I1037" s="117"/>
      <c r="J1037" s="116"/>
      <c r="K1037" s="80"/>
      <c r="L1037" s="79"/>
      <c r="M1037" s="79"/>
      <c r="AG1037" s="79"/>
      <c r="AH1037" s="79"/>
      <c r="AV1037" s="194">
        <v>1090.278</v>
      </c>
      <c r="DT1037" s="99">
        <f t="shared" ref="DT1037:DT1100" si="18">DN1037+DO1037+DP1037+DQ1037+DR1037+DS1037</f>
        <v>0</v>
      </c>
    </row>
    <row r="1038" spans="1:124" ht="112.5" hidden="1" x14ac:dyDescent="0.3">
      <c r="A1038" s="143" t="s">
        <v>765</v>
      </c>
      <c r="B1038" s="13">
        <v>936</v>
      </c>
      <c r="C1038" s="44" t="s">
        <v>209</v>
      </c>
      <c r="D1038" s="44" t="s">
        <v>117</v>
      </c>
      <c r="E1038" s="44" t="s">
        <v>764</v>
      </c>
      <c r="F1038" s="44" t="s">
        <v>50</v>
      </c>
      <c r="G1038" s="57">
        <f>G1039</f>
        <v>0</v>
      </c>
      <c r="H1038" s="116"/>
      <c r="I1038" s="117"/>
      <c r="J1038" s="116"/>
      <c r="K1038" s="80"/>
      <c r="L1038" s="79"/>
      <c r="M1038" s="79"/>
      <c r="AG1038" s="79"/>
      <c r="AH1038" s="79"/>
      <c r="DT1038" s="99">
        <f t="shared" si="18"/>
        <v>0</v>
      </c>
    </row>
    <row r="1039" spans="1:124" ht="37.5" hidden="1" x14ac:dyDescent="0.3">
      <c r="A1039" s="143" t="s">
        <v>425</v>
      </c>
      <c r="B1039" s="13">
        <v>936</v>
      </c>
      <c r="C1039" s="44" t="s">
        <v>209</v>
      </c>
      <c r="D1039" s="44" t="s">
        <v>117</v>
      </c>
      <c r="E1039" s="44" t="s">
        <v>764</v>
      </c>
      <c r="F1039" s="44" t="s">
        <v>59</v>
      </c>
      <c r="G1039" s="57">
        <v>0</v>
      </c>
      <c r="H1039" s="116"/>
      <c r="I1039" s="117"/>
      <c r="J1039" s="116"/>
      <c r="K1039" s="80"/>
      <c r="L1039" s="79"/>
      <c r="M1039" s="79"/>
      <c r="AG1039" s="79"/>
      <c r="AH1039" s="79"/>
      <c r="AY1039" s="226">
        <v>689.91700000000003</v>
      </c>
      <c r="DT1039" s="99">
        <f t="shared" si="18"/>
        <v>0</v>
      </c>
    </row>
    <row r="1040" spans="1:124" ht="112.5" hidden="1" x14ac:dyDescent="0.3">
      <c r="A1040" s="143" t="s">
        <v>877</v>
      </c>
      <c r="B1040" s="13">
        <v>936</v>
      </c>
      <c r="C1040" s="44" t="s">
        <v>209</v>
      </c>
      <c r="D1040" s="44" t="s">
        <v>117</v>
      </c>
      <c r="E1040" s="44" t="s">
        <v>878</v>
      </c>
      <c r="F1040" s="14" t="s">
        <v>50</v>
      </c>
      <c r="G1040" s="57">
        <f>G1041</f>
        <v>0</v>
      </c>
      <c r="H1040" s="116"/>
      <c r="I1040" s="117"/>
      <c r="J1040" s="116"/>
      <c r="K1040" s="80"/>
      <c r="L1040" s="79"/>
      <c r="M1040" s="79"/>
      <c r="AG1040" s="79"/>
      <c r="AH1040" s="79"/>
      <c r="DT1040" s="99">
        <f t="shared" si="18"/>
        <v>0</v>
      </c>
    </row>
    <row r="1041" spans="1:124" ht="37.5" hidden="1" x14ac:dyDescent="0.3">
      <c r="A1041" s="143" t="s">
        <v>425</v>
      </c>
      <c r="B1041" s="13">
        <v>936</v>
      </c>
      <c r="C1041" s="44" t="s">
        <v>209</v>
      </c>
      <c r="D1041" s="44" t="s">
        <v>117</v>
      </c>
      <c r="E1041" s="44" t="s">
        <v>878</v>
      </c>
      <c r="F1041" s="44" t="s">
        <v>59</v>
      </c>
      <c r="G1041" s="57">
        <v>0</v>
      </c>
      <c r="H1041" s="116"/>
      <c r="I1041" s="117"/>
      <c r="J1041" s="116"/>
      <c r="K1041" s="80"/>
      <c r="L1041" s="79"/>
      <c r="M1041" s="79"/>
      <c r="AG1041" s="79"/>
      <c r="AH1041" s="79"/>
      <c r="CA1041" s="226">
        <v>1374.6759999999999</v>
      </c>
      <c r="DT1041" s="99">
        <f t="shared" si="18"/>
        <v>0</v>
      </c>
    </row>
    <row r="1042" spans="1:124" ht="93.75" hidden="1" x14ac:dyDescent="0.3">
      <c r="A1042" s="143" t="s">
        <v>879</v>
      </c>
      <c r="B1042" s="13">
        <v>936</v>
      </c>
      <c r="C1042" s="44" t="s">
        <v>209</v>
      </c>
      <c r="D1042" s="44" t="s">
        <v>117</v>
      </c>
      <c r="E1042" s="44" t="s">
        <v>880</v>
      </c>
      <c r="F1042" s="14" t="s">
        <v>50</v>
      </c>
      <c r="G1042" s="57">
        <f>G1043</f>
        <v>0</v>
      </c>
      <c r="H1042" s="116"/>
      <c r="I1042" s="117"/>
      <c r="J1042" s="116"/>
      <c r="K1042" s="80"/>
      <c r="L1042" s="79"/>
      <c r="M1042" s="79"/>
      <c r="AG1042" s="79"/>
      <c r="AH1042" s="79"/>
      <c r="DT1042" s="99">
        <f t="shared" si="18"/>
        <v>0</v>
      </c>
    </row>
    <row r="1043" spans="1:124" ht="37.5" hidden="1" x14ac:dyDescent="0.3">
      <c r="A1043" s="143" t="s">
        <v>425</v>
      </c>
      <c r="B1043" s="13">
        <v>936</v>
      </c>
      <c r="C1043" s="44" t="s">
        <v>209</v>
      </c>
      <c r="D1043" s="44" t="s">
        <v>117</v>
      </c>
      <c r="E1043" s="44" t="s">
        <v>880</v>
      </c>
      <c r="F1043" s="44" t="s">
        <v>59</v>
      </c>
      <c r="G1043" s="57">
        <v>0</v>
      </c>
      <c r="H1043" s="116"/>
      <c r="I1043" s="117"/>
      <c r="J1043" s="116"/>
      <c r="K1043" s="80"/>
      <c r="L1043" s="79"/>
      <c r="M1043" s="79"/>
      <c r="AG1043" s="79"/>
      <c r="AH1043" s="79"/>
      <c r="CA1043" s="226">
        <v>1500</v>
      </c>
      <c r="DT1043" s="99">
        <f t="shared" si="18"/>
        <v>0</v>
      </c>
    </row>
    <row r="1044" spans="1:124" ht="93.75" hidden="1" x14ac:dyDescent="0.3">
      <c r="A1044" s="143" t="s">
        <v>906</v>
      </c>
      <c r="B1044" s="13">
        <v>936</v>
      </c>
      <c r="C1044" s="44" t="s">
        <v>209</v>
      </c>
      <c r="D1044" s="44" t="s">
        <v>117</v>
      </c>
      <c r="E1044" s="44" t="s">
        <v>905</v>
      </c>
      <c r="F1044" s="14" t="s">
        <v>50</v>
      </c>
      <c r="G1044" s="57">
        <f>G1045</f>
        <v>0</v>
      </c>
      <c r="H1044" s="116"/>
      <c r="I1044" s="117"/>
      <c r="J1044" s="116"/>
      <c r="K1044" s="80"/>
      <c r="L1044" s="79"/>
      <c r="M1044" s="79"/>
      <c r="AG1044" s="79"/>
      <c r="AH1044" s="79"/>
      <c r="DT1044" s="99">
        <f t="shared" si="18"/>
        <v>0</v>
      </c>
    </row>
    <row r="1045" spans="1:124" ht="37.5" hidden="1" x14ac:dyDescent="0.3">
      <c r="A1045" s="143" t="s">
        <v>425</v>
      </c>
      <c r="B1045" s="13">
        <v>936</v>
      </c>
      <c r="C1045" s="44" t="s">
        <v>209</v>
      </c>
      <c r="D1045" s="44" t="s">
        <v>117</v>
      </c>
      <c r="E1045" s="44" t="s">
        <v>905</v>
      </c>
      <c r="F1045" s="44" t="s">
        <v>59</v>
      </c>
      <c r="G1045" s="57">
        <v>0</v>
      </c>
      <c r="H1045" s="116"/>
      <c r="I1045" s="117"/>
      <c r="J1045" s="116"/>
      <c r="K1045" s="80"/>
      <c r="L1045" s="79"/>
      <c r="M1045" s="79"/>
      <c r="AG1045" s="79"/>
      <c r="AH1045" s="79"/>
      <c r="CE1045" s="194">
        <v>971.59100000000001</v>
      </c>
      <c r="DT1045" s="99">
        <f t="shared" si="18"/>
        <v>0</v>
      </c>
    </row>
    <row r="1046" spans="1:124" ht="63" hidden="1" customHeight="1" x14ac:dyDescent="0.3">
      <c r="A1046" s="143" t="s">
        <v>569</v>
      </c>
      <c r="B1046" s="13">
        <v>936</v>
      </c>
      <c r="C1046" s="44" t="s">
        <v>209</v>
      </c>
      <c r="D1046" s="44" t="s">
        <v>117</v>
      </c>
      <c r="E1046" s="44" t="s">
        <v>256</v>
      </c>
      <c r="F1046" s="14" t="s">
        <v>50</v>
      </c>
      <c r="G1046" s="57">
        <f>G1047+G1049+G1051+G1053+G1057+G1060+G1061+G1063+G1065+G1067</f>
        <v>0</v>
      </c>
      <c r="H1046" s="116"/>
      <c r="I1046" s="117"/>
      <c r="J1046" s="116"/>
      <c r="K1046" s="80"/>
      <c r="L1046" s="79"/>
      <c r="M1046" s="79"/>
      <c r="AG1046" s="79"/>
      <c r="AH1046" s="79"/>
      <c r="DT1046" s="99">
        <f t="shared" si="18"/>
        <v>0</v>
      </c>
    </row>
    <row r="1047" spans="1:124" ht="112.5" hidden="1" x14ac:dyDescent="0.3">
      <c r="A1047" s="143" t="s">
        <v>1095</v>
      </c>
      <c r="B1047" s="13">
        <v>936</v>
      </c>
      <c r="C1047" s="44" t="s">
        <v>209</v>
      </c>
      <c r="D1047" s="44" t="s">
        <v>117</v>
      </c>
      <c r="E1047" s="14" t="s">
        <v>994</v>
      </c>
      <c r="F1047" s="14" t="s">
        <v>50</v>
      </c>
      <c r="G1047" s="57">
        <f>G1048</f>
        <v>0</v>
      </c>
      <c r="H1047" s="116"/>
      <c r="I1047" s="117"/>
      <c r="J1047" s="116"/>
      <c r="K1047" s="80"/>
      <c r="L1047" s="79"/>
      <c r="M1047" s="79"/>
      <c r="AG1047" s="79"/>
      <c r="AH1047" s="79"/>
      <c r="DT1047" s="99">
        <f t="shared" si="18"/>
        <v>0</v>
      </c>
    </row>
    <row r="1048" spans="1:124" ht="37.5" hidden="1" x14ac:dyDescent="0.3">
      <c r="A1048" s="143" t="s">
        <v>425</v>
      </c>
      <c r="B1048" s="13">
        <v>936</v>
      </c>
      <c r="C1048" s="44" t="s">
        <v>209</v>
      </c>
      <c r="D1048" s="44" t="s">
        <v>117</v>
      </c>
      <c r="E1048" s="14" t="s">
        <v>994</v>
      </c>
      <c r="F1048" s="44" t="s">
        <v>59</v>
      </c>
      <c r="G1048" s="57">
        <v>0</v>
      </c>
      <c r="H1048" s="116"/>
      <c r="I1048" s="117"/>
      <c r="J1048" s="116"/>
      <c r="K1048" s="80"/>
      <c r="L1048" s="79"/>
      <c r="M1048" s="79">
        <v>168.3</v>
      </c>
      <c r="AG1048" s="79"/>
      <c r="AH1048" s="79"/>
      <c r="AK1048" s="79">
        <v>0</v>
      </c>
      <c r="AQ1048" s="151">
        <v>600</v>
      </c>
      <c r="CU1048" s="258">
        <v>50</v>
      </c>
      <c r="DT1048" s="99">
        <f t="shared" si="18"/>
        <v>0</v>
      </c>
    </row>
    <row r="1049" spans="1:124" ht="131.25" hidden="1" x14ac:dyDescent="0.3">
      <c r="A1049" s="143" t="s">
        <v>1083</v>
      </c>
      <c r="B1049" s="13">
        <v>936</v>
      </c>
      <c r="C1049" s="44" t="s">
        <v>209</v>
      </c>
      <c r="D1049" s="44" t="s">
        <v>117</v>
      </c>
      <c r="E1049" s="14" t="s">
        <v>995</v>
      </c>
      <c r="F1049" s="14" t="s">
        <v>50</v>
      </c>
      <c r="G1049" s="57">
        <f>G1050</f>
        <v>0</v>
      </c>
      <c r="H1049" s="116"/>
      <c r="I1049" s="117"/>
      <c r="J1049" s="116"/>
      <c r="K1049" s="80"/>
      <c r="L1049" s="79"/>
      <c r="M1049" s="79"/>
      <c r="AG1049" s="79"/>
      <c r="AH1049" s="79"/>
      <c r="DT1049" s="99">
        <f t="shared" si="18"/>
        <v>0</v>
      </c>
    </row>
    <row r="1050" spans="1:124" ht="37.5" hidden="1" x14ac:dyDescent="0.3">
      <c r="A1050" s="143" t="s">
        <v>425</v>
      </c>
      <c r="B1050" s="13">
        <v>936</v>
      </c>
      <c r="C1050" s="44" t="s">
        <v>209</v>
      </c>
      <c r="D1050" s="44" t="s">
        <v>117</v>
      </c>
      <c r="E1050" s="14" t="s">
        <v>995</v>
      </c>
      <c r="F1050" s="44" t="s">
        <v>59</v>
      </c>
      <c r="G1050" s="57">
        <v>0</v>
      </c>
      <c r="H1050" s="116"/>
      <c r="I1050" s="117"/>
      <c r="J1050" s="116"/>
      <c r="K1050" s="80"/>
      <c r="L1050" s="79"/>
      <c r="M1050" s="79">
        <v>367.24099999999999</v>
      </c>
      <c r="AC1050">
        <v>-56.698529999999998</v>
      </c>
      <c r="AG1050" s="79"/>
      <c r="AH1050" s="79"/>
      <c r="AK1050" s="79">
        <v>0</v>
      </c>
      <c r="AQ1050" s="151">
        <v>183.517</v>
      </c>
      <c r="CU1050" s="258">
        <v>168</v>
      </c>
      <c r="DT1050" s="99">
        <f t="shared" si="18"/>
        <v>0</v>
      </c>
    </row>
    <row r="1051" spans="1:124" ht="112.5" hidden="1" x14ac:dyDescent="0.3">
      <c r="A1051" s="143" t="s">
        <v>828</v>
      </c>
      <c r="B1051" s="13">
        <v>936</v>
      </c>
      <c r="C1051" s="44" t="s">
        <v>209</v>
      </c>
      <c r="D1051" s="44" t="s">
        <v>117</v>
      </c>
      <c r="E1051" s="14" t="s">
        <v>831</v>
      </c>
      <c r="F1051" s="14" t="s">
        <v>50</v>
      </c>
      <c r="G1051" s="57">
        <f>G1052</f>
        <v>0</v>
      </c>
      <c r="H1051" s="116"/>
      <c r="I1051" s="117"/>
      <c r="J1051" s="116"/>
      <c r="K1051" s="80"/>
      <c r="L1051" s="79"/>
      <c r="M1051" s="79"/>
      <c r="AG1051" s="79"/>
      <c r="AH1051" s="79"/>
      <c r="DT1051" s="99">
        <f t="shared" si="18"/>
        <v>0</v>
      </c>
    </row>
    <row r="1052" spans="1:124" ht="37.5" hidden="1" x14ac:dyDescent="0.3">
      <c r="A1052" s="143" t="s">
        <v>425</v>
      </c>
      <c r="B1052" s="13">
        <v>936</v>
      </c>
      <c r="C1052" s="44" t="s">
        <v>209</v>
      </c>
      <c r="D1052" s="44" t="s">
        <v>117</v>
      </c>
      <c r="E1052" s="14" t="s">
        <v>831</v>
      </c>
      <c r="F1052" s="44" t="s">
        <v>59</v>
      </c>
      <c r="G1052" s="57">
        <v>0</v>
      </c>
      <c r="H1052" s="116"/>
      <c r="I1052" s="117"/>
      <c r="J1052" s="116"/>
      <c r="K1052" s="80"/>
      <c r="L1052" s="79"/>
      <c r="M1052" s="79">
        <v>120.13200000000001</v>
      </c>
      <c r="AG1052" s="79"/>
      <c r="AH1052" s="79"/>
      <c r="AK1052" s="79">
        <v>0</v>
      </c>
      <c r="AQ1052" s="151">
        <v>290.83499999999998</v>
      </c>
      <c r="DT1052" s="99">
        <f t="shared" si="18"/>
        <v>0</v>
      </c>
    </row>
    <row r="1053" spans="1:124" ht="112.5" hidden="1" x14ac:dyDescent="0.3">
      <c r="A1053" s="143" t="s">
        <v>707</v>
      </c>
      <c r="B1053" s="13">
        <v>936</v>
      </c>
      <c r="C1053" s="44" t="s">
        <v>209</v>
      </c>
      <c r="D1053" s="44" t="s">
        <v>117</v>
      </c>
      <c r="E1053" s="44" t="s">
        <v>726</v>
      </c>
      <c r="F1053" s="14" t="s">
        <v>50</v>
      </c>
      <c r="G1053" s="57">
        <f>G1054</f>
        <v>0</v>
      </c>
      <c r="H1053" s="116"/>
      <c r="I1053" s="117"/>
      <c r="J1053" s="116"/>
      <c r="K1053" s="80"/>
      <c r="L1053" s="79"/>
      <c r="M1053" s="79"/>
      <c r="AG1053" s="79"/>
      <c r="AH1053" s="79"/>
      <c r="DT1053" s="99">
        <f t="shared" si="18"/>
        <v>0</v>
      </c>
    </row>
    <row r="1054" spans="1:124" ht="37.5" hidden="1" x14ac:dyDescent="0.3">
      <c r="A1054" s="143" t="s">
        <v>425</v>
      </c>
      <c r="B1054" s="13">
        <v>936</v>
      </c>
      <c r="C1054" s="44" t="s">
        <v>209</v>
      </c>
      <c r="D1054" s="44" t="s">
        <v>117</v>
      </c>
      <c r="E1054" s="44" t="s">
        <v>726</v>
      </c>
      <c r="F1054" s="44" t="s">
        <v>59</v>
      </c>
      <c r="G1054" s="57">
        <v>0</v>
      </c>
      <c r="H1054" s="116"/>
      <c r="I1054" s="117"/>
      <c r="J1054" s="116"/>
      <c r="K1054" s="80"/>
      <c r="L1054" s="79"/>
      <c r="M1054" s="79">
        <v>115.958</v>
      </c>
      <c r="AG1054" s="79"/>
      <c r="AH1054" s="79"/>
      <c r="AK1054" s="79">
        <v>0</v>
      </c>
      <c r="AQ1054" s="151">
        <v>136.50399999999999</v>
      </c>
      <c r="DT1054" s="99">
        <f t="shared" si="18"/>
        <v>0</v>
      </c>
    </row>
    <row r="1055" spans="1:124" ht="26.25" hidden="1" customHeight="1" x14ac:dyDescent="0.3">
      <c r="A1055" s="143" t="s">
        <v>289</v>
      </c>
      <c r="B1055" s="13">
        <v>936</v>
      </c>
      <c r="C1055" s="44" t="s">
        <v>209</v>
      </c>
      <c r="D1055" s="44" t="s">
        <v>117</v>
      </c>
      <c r="E1055" s="44" t="s">
        <v>647</v>
      </c>
      <c r="F1055" s="14" t="s">
        <v>50</v>
      </c>
      <c r="G1055" s="57">
        <f>G1056</f>
        <v>0</v>
      </c>
      <c r="H1055" s="116"/>
      <c r="I1055" s="117"/>
      <c r="J1055" s="116"/>
      <c r="K1055" s="80"/>
      <c r="L1055" s="79"/>
      <c r="M1055" s="79"/>
      <c r="AG1055" s="79"/>
      <c r="AH1055" s="79"/>
      <c r="DT1055" s="99">
        <f t="shared" si="18"/>
        <v>0</v>
      </c>
    </row>
    <row r="1056" spans="1:124" ht="37.5" hidden="1" x14ac:dyDescent="0.3">
      <c r="A1056" s="143" t="s">
        <v>425</v>
      </c>
      <c r="B1056" s="13">
        <v>936</v>
      </c>
      <c r="C1056" s="44" t="s">
        <v>209</v>
      </c>
      <c r="D1056" s="44" t="s">
        <v>117</v>
      </c>
      <c r="E1056" s="44" t="s">
        <v>647</v>
      </c>
      <c r="F1056" s="44" t="s">
        <v>59</v>
      </c>
      <c r="G1056" s="57">
        <v>0</v>
      </c>
      <c r="H1056" s="116"/>
      <c r="I1056" s="117"/>
      <c r="J1056" s="116"/>
      <c r="K1056" s="80"/>
      <c r="L1056" s="79"/>
      <c r="M1056" s="79"/>
      <c r="Z1056">
        <v>100</v>
      </c>
      <c r="AD1056">
        <v>115</v>
      </c>
      <c r="AG1056" s="79"/>
      <c r="AH1056" s="79"/>
      <c r="AN1056" s="150">
        <v>1547.1</v>
      </c>
      <c r="DT1056" s="99">
        <f t="shared" si="18"/>
        <v>0</v>
      </c>
    </row>
    <row r="1057" spans="1:124" ht="112.5" hidden="1" x14ac:dyDescent="0.3">
      <c r="A1057" s="143" t="s">
        <v>709</v>
      </c>
      <c r="B1057" s="13">
        <v>936</v>
      </c>
      <c r="C1057" s="44" t="s">
        <v>209</v>
      </c>
      <c r="D1057" s="44" t="s">
        <v>117</v>
      </c>
      <c r="E1057" s="44" t="s">
        <v>727</v>
      </c>
      <c r="F1057" s="14" t="s">
        <v>50</v>
      </c>
      <c r="G1057" s="57">
        <f>G1058</f>
        <v>0</v>
      </c>
      <c r="H1057" s="116"/>
      <c r="I1057" s="117"/>
      <c r="J1057" s="116"/>
      <c r="K1057" s="80"/>
      <c r="L1057" s="79"/>
      <c r="M1057" s="79"/>
      <c r="AG1057" s="79"/>
      <c r="AH1057" s="79"/>
      <c r="DT1057" s="99">
        <f t="shared" si="18"/>
        <v>0</v>
      </c>
    </row>
    <row r="1058" spans="1:124" ht="37.5" hidden="1" x14ac:dyDescent="0.3">
      <c r="A1058" s="143" t="s">
        <v>425</v>
      </c>
      <c r="B1058" s="13">
        <v>936</v>
      </c>
      <c r="C1058" s="44" t="s">
        <v>209</v>
      </c>
      <c r="D1058" s="44" t="s">
        <v>117</v>
      </c>
      <c r="E1058" s="44" t="s">
        <v>727</v>
      </c>
      <c r="F1058" s="44" t="s">
        <v>59</v>
      </c>
      <c r="G1058" s="57">
        <v>0</v>
      </c>
      <c r="H1058" s="116"/>
      <c r="I1058" s="117"/>
      <c r="J1058" s="116"/>
      <c r="K1058" s="80"/>
      <c r="L1058" s="79"/>
      <c r="M1058" s="79"/>
      <c r="AG1058" s="79"/>
      <c r="AH1058" s="79"/>
      <c r="AQ1058" s="151">
        <v>147.5</v>
      </c>
      <c r="DT1058" s="99">
        <f t="shared" si="18"/>
        <v>0</v>
      </c>
    </row>
    <row r="1059" spans="1:124" ht="105.75" hidden="1" customHeight="1" x14ac:dyDescent="0.3">
      <c r="A1059" s="143" t="s">
        <v>756</v>
      </c>
      <c r="B1059" s="13">
        <v>936</v>
      </c>
      <c r="C1059" s="44" t="s">
        <v>209</v>
      </c>
      <c r="D1059" s="44" t="s">
        <v>117</v>
      </c>
      <c r="E1059" s="44" t="s">
        <v>752</v>
      </c>
      <c r="F1059" s="14" t="s">
        <v>50</v>
      </c>
      <c r="G1059" s="57">
        <f>G1060</f>
        <v>0</v>
      </c>
      <c r="H1059" s="116"/>
      <c r="I1059" s="117"/>
      <c r="J1059" s="116"/>
      <c r="K1059" s="80"/>
      <c r="L1059" s="79"/>
      <c r="M1059" s="79"/>
      <c r="AG1059" s="79"/>
      <c r="AH1059" s="79"/>
      <c r="DT1059" s="99">
        <f t="shared" si="18"/>
        <v>0</v>
      </c>
    </row>
    <row r="1060" spans="1:124" ht="37.5" hidden="1" x14ac:dyDescent="0.3">
      <c r="A1060" s="143" t="s">
        <v>425</v>
      </c>
      <c r="B1060" s="13">
        <v>936</v>
      </c>
      <c r="C1060" s="44" t="s">
        <v>209</v>
      </c>
      <c r="D1060" s="44" t="s">
        <v>117</v>
      </c>
      <c r="E1060" s="44" t="s">
        <v>752</v>
      </c>
      <c r="F1060" s="44" t="s">
        <v>59</v>
      </c>
      <c r="G1060" s="57">
        <v>0</v>
      </c>
      <c r="H1060" s="116"/>
      <c r="I1060" s="117"/>
      <c r="J1060" s="116"/>
      <c r="K1060" s="80"/>
      <c r="L1060" s="79"/>
      <c r="M1060" s="79"/>
      <c r="AG1060" s="79"/>
      <c r="AH1060" s="79"/>
      <c r="AV1060" s="194">
        <v>155</v>
      </c>
      <c r="DT1060" s="99">
        <f t="shared" si="18"/>
        <v>0</v>
      </c>
    </row>
    <row r="1061" spans="1:124" ht="120" hidden="1" customHeight="1" x14ac:dyDescent="0.3">
      <c r="A1061" s="143" t="s">
        <v>765</v>
      </c>
      <c r="B1061" s="13">
        <v>936</v>
      </c>
      <c r="C1061" s="44" t="s">
        <v>209</v>
      </c>
      <c r="D1061" s="44" t="s">
        <v>117</v>
      </c>
      <c r="E1061" s="44" t="s">
        <v>763</v>
      </c>
      <c r="F1061" s="44" t="s">
        <v>50</v>
      </c>
      <c r="G1061" s="57">
        <f>G1062</f>
        <v>0</v>
      </c>
      <c r="H1061" s="116"/>
      <c r="I1061" s="117"/>
      <c r="J1061" s="116"/>
      <c r="K1061" s="80"/>
      <c r="L1061" s="79"/>
      <c r="M1061" s="79"/>
      <c r="AG1061" s="79"/>
      <c r="AH1061" s="79"/>
      <c r="DT1061" s="99">
        <f t="shared" si="18"/>
        <v>0</v>
      </c>
    </row>
    <row r="1062" spans="1:124" ht="37.5" hidden="1" x14ac:dyDescent="0.3">
      <c r="A1062" s="143" t="s">
        <v>425</v>
      </c>
      <c r="B1062" s="13">
        <v>936</v>
      </c>
      <c r="C1062" s="44" t="s">
        <v>209</v>
      </c>
      <c r="D1062" s="44" t="s">
        <v>117</v>
      </c>
      <c r="E1062" s="44" t="s">
        <v>763</v>
      </c>
      <c r="F1062" s="44" t="s">
        <v>59</v>
      </c>
      <c r="G1062" s="57">
        <v>0</v>
      </c>
      <c r="H1062" s="116"/>
      <c r="I1062" s="117"/>
      <c r="J1062" s="116"/>
      <c r="K1062" s="80"/>
      <c r="L1062" s="79"/>
      <c r="M1062" s="79"/>
      <c r="AG1062" s="79"/>
      <c r="AH1062" s="79"/>
      <c r="AY1062" s="226">
        <v>93.2</v>
      </c>
      <c r="DT1062" s="99">
        <f t="shared" si="18"/>
        <v>0</v>
      </c>
    </row>
    <row r="1063" spans="1:124" ht="112.5" hidden="1" x14ac:dyDescent="0.3">
      <c r="A1063" s="143" t="s">
        <v>877</v>
      </c>
      <c r="B1063" s="13">
        <v>936</v>
      </c>
      <c r="C1063" s="44" t="s">
        <v>209</v>
      </c>
      <c r="D1063" s="44" t="s">
        <v>117</v>
      </c>
      <c r="E1063" s="44" t="s">
        <v>884</v>
      </c>
      <c r="F1063" s="14" t="s">
        <v>50</v>
      </c>
      <c r="G1063" s="57">
        <f>G1064</f>
        <v>0</v>
      </c>
      <c r="H1063" s="116"/>
      <c r="I1063" s="117"/>
      <c r="J1063" s="116"/>
      <c r="K1063" s="80"/>
      <c r="L1063" s="79"/>
      <c r="M1063" s="79"/>
      <c r="AG1063" s="79"/>
      <c r="AH1063" s="79"/>
      <c r="DT1063" s="99">
        <f t="shared" si="18"/>
        <v>0</v>
      </c>
    </row>
    <row r="1064" spans="1:124" ht="37.5" hidden="1" x14ac:dyDescent="0.3">
      <c r="A1064" s="143" t="s">
        <v>425</v>
      </c>
      <c r="B1064" s="13">
        <v>936</v>
      </c>
      <c r="C1064" s="44" t="s">
        <v>209</v>
      </c>
      <c r="D1064" s="44" t="s">
        <v>117</v>
      </c>
      <c r="E1064" s="44" t="s">
        <v>884</v>
      </c>
      <c r="F1064" s="44" t="s">
        <v>59</v>
      </c>
      <c r="G1064" s="57">
        <v>0</v>
      </c>
      <c r="H1064" s="116"/>
      <c r="I1064" s="117"/>
      <c r="J1064" s="116"/>
      <c r="K1064" s="80"/>
      <c r="L1064" s="79"/>
      <c r="M1064" s="79"/>
      <c r="AG1064" s="79"/>
      <c r="AH1064" s="79"/>
      <c r="CB1064" s="226">
        <v>183.517</v>
      </c>
      <c r="DT1064" s="99">
        <f t="shared" si="18"/>
        <v>0</v>
      </c>
    </row>
    <row r="1065" spans="1:124" ht="93.75" hidden="1" x14ac:dyDescent="0.3">
      <c r="A1065" s="143" t="s">
        <v>879</v>
      </c>
      <c r="B1065" s="13">
        <v>936</v>
      </c>
      <c r="C1065" s="44" t="s">
        <v>209</v>
      </c>
      <c r="D1065" s="44" t="s">
        <v>117</v>
      </c>
      <c r="E1065" s="44" t="s">
        <v>885</v>
      </c>
      <c r="F1065" s="14" t="s">
        <v>50</v>
      </c>
      <c r="G1065" s="57">
        <f>G1066</f>
        <v>0</v>
      </c>
      <c r="H1065" s="116"/>
      <c r="I1065" s="117"/>
      <c r="J1065" s="116"/>
      <c r="K1065" s="80"/>
      <c r="L1065" s="79"/>
      <c r="M1065" s="79"/>
      <c r="AG1065" s="79"/>
      <c r="AH1065" s="79"/>
      <c r="DT1065" s="99">
        <f t="shared" si="18"/>
        <v>0</v>
      </c>
    </row>
    <row r="1066" spans="1:124" ht="37.5" hidden="1" x14ac:dyDescent="0.3">
      <c r="A1066" s="143" t="s">
        <v>425</v>
      </c>
      <c r="B1066" s="13">
        <v>936</v>
      </c>
      <c r="C1066" s="44" t="s">
        <v>209</v>
      </c>
      <c r="D1066" s="44" t="s">
        <v>117</v>
      </c>
      <c r="E1066" s="44" t="s">
        <v>885</v>
      </c>
      <c r="F1066" s="44" t="s">
        <v>59</v>
      </c>
      <c r="G1066" s="57">
        <v>0</v>
      </c>
      <c r="H1066" s="116"/>
      <c r="I1066" s="117"/>
      <c r="J1066" s="116"/>
      <c r="K1066" s="80"/>
      <c r="L1066" s="79"/>
      <c r="M1066" s="79"/>
      <c r="AG1066" s="79"/>
      <c r="AH1066" s="79"/>
      <c r="CB1066" s="226">
        <v>290.83499999999998</v>
      </c>
      <c r="DT1066" s="99">
        <f t="shared" si="18"/>
        <v>0</v>
      </c>
    </row>
    <row r="1067" spans="1:124" ht="93.75" hidden="1" x14ac:dyDescent="0.3">
      <c r="A1067" s="143" t="s">
        <v>906</v>
      </c>
      <c r="B1067" s="13">
        <v>936</v>
      </c>
      <c r="C1067" s="44" t="s">
        <v>209</v>
      </c>
      <c r="D1067" s="44" t="s">
        <v>117</v>
      </c>
      <c r="E1067" s="44" t="s">
        <v>915</v>
      </c>
      <c r="F1067" s="14" t="s">
        <v>50</v>
      </c>
      <c r="G1067" s="57">
        <f>G1068</f>
        <v>0</v>
      </c>
      <c r="H1067" s="116"/>
      <c r="I1067" s="117"/>
      <c r="J1067" s="116"/>
      <c r="K1067" s="80"/>
      <c r="L1067" s="79"/>
      <c r="M1067" s="79"/>
      <c r="AG1067" s="79"/>
      <c r="AH1067" s="79"/>
      <c r="DT1067" s="99">
        <f t="shared" si="18"/>
        <v>0</v>
      </c>
    </row>
    <row r="1068" spans="1:124" ht="37.5" hidden="1" x14ac:dyDescent="0.3">
      <c r="A1068" s="143" t="s">
        <v>425</v>
      </c>
      <c r="B1068" s="13">
        <v>936</v>
      </c>
      <c r="C1068" s="44" t="s">
        <v>209</v>
      </c>
      <c r="D1068" s="44" t="s">
        <v>117</v>
      </c>
      <c r="E1068" s="44" t="s">
        <v>915</v>
      </c>
      <c r="F1068" s="44" t="s">
        <v>59</v>
      </c>
      <c r="G1068" s="57">
        <v>0</v>
      </c>
      <c r="H1068" s="116"/>
      <c r="I1068" s="117"/>
      <c r="J1068" s="116"/>
      <c r="K1068" s="80"/>
      <c r="L1068" s="79"/>
      <c r="M1068" s="79"/>
      <c r="AG1068" s="79"/>
      <c r="AH1068" s="79"/>
      <c r="CF1068" s="194">
        <v>133</v>
      </c>
      <c r="DT1068" s="99">
        <f t="shared" si="18"/>
        <v>0</v>
      </c>
    </row>
    <row r="1069" spans="1:124" ht="37.5" hidden="1" x14ac:dyDescent="0.3">
      <c r="A1069" s="143" t="s">
        <v>64</v>
      </c>
      <c r="B1069" s="13">
        <v>936</v>
      </c>
      <c r="C1069" s="44" t="s">
        <v>209</v>
      </c>
      <c r="D1069" s="44" t="s">
        <v>117</v>
      </c>
      <c r="E1069" s="44" t="s">
        <v>833</v>
      </c>
      <c r="F1069" s="44" t="s">
        <v>50</v>
      </c>
      <c r="G1069" s="57">
        <f>G1071+G1073+G1075+G1077+G1083+G1085+G1087+G1099+G1101+G1102</f>
        <v>0</v>
      </c>
      <c r="H1069" s="116"/>
      <c r="I1069" s="117"/>
      <c r="J1069" s="116"/>
      <c r="K1069" s="80"/>
      <c r="L1069" s="79"/>
      <c r="M1069" s="79"/>
      <c r="AG1069" s="79"/>
      <c r="AH1069" s="79"/>
      <c r="DT1069" s="99">
        <f t="shared" si="18"/>
        <v>0</v>
      </c>
    </row>
    <row r="1070" spans="1:124" ht="93.75" hidden="1" x14ac:dyDescent="0.3">
      <c r="A1070" s="143" t="s">
        <v>1065</v>
      </c>
      <c r="B1070" s="13">
        <v>936</v>
      </c>
      <c r="C1070" s="44" t="s">
        <v>209</v>
      </c>
      <c r="D1070" s="44" t="s">
        <v>117</v>
      </c>
      <c r="E1070" s="44" t="s">
        <v>996</v>
      </c>
      <c r="F1070" s="14" t="s">
        <v>50</v>
      </c>
      <c r="G1070" s="57">
        <f>G1071</f>
        <v>0</v>
      </c>
      <c r="H1070" s="116"/>
      <c r="I1070" s="117"/>
      <c r="J1070" s="116"/>
      <c r="K1070" s="80"/>
      <c r="L1070" s="79"/>
      <c r="M1070" s="79"/>
      <c r="AG1070" s="79"/>
      <c r="AH1070" s="79"/>
      <c r="DT1070" s="99">
        <f t="shared" si="18"/>
        <v>0</v>
      </c>
    </row>
    <row r="1071" spans="1:124" ht="37.5" hidden="1" x14ac:dyDescent="0.3">
      <c r="A1071" s="143" t="s">
        <v>425</v>
      </c>
      <c r="B1071" s="13">
        <v>936</v>
      </c>
      <c r="C1071" s="44" t="s">
        <v>209</v>
      </c>
      <c r="D1071" s="44" t="s">
        <v>117</v>
      </c>
      <c r="E1071" s="44" t="s">
        <v>996</v>
      </c>
      <c r="F1071" s="44" t="s">
        <v>59</v>
      </c>
      <c r="G1071" s="57">
        <v>0</v>
      </c>
      <c r="H1071" s="116"/>
      <c r="I1071" s="117"/>
      <c r="J1071" s="116"/>
      <c r="K1071" s="80"/>
      <c r="L1071" s="79"/>
      <c r="M1071" s="79">
        <v>502</v>
      </c>
      <c r="AG1071" s="79"/>
      <c r="AH1071" s="79"/>
      <c r="AK1071" s="79">
        <v>0</v>
      </c>
      <c r="AQ1071" s="151">
        <v>442.82600000000002</v>
      </c>
      <c r="CU1071" s="258">
        <v>65</v>
      </c>
      <c r="DT1071" s="99">
        <f t="shared" si="18"/>
        <v>0</v>
      </c>
    </row>
    <row r="1072" spans="1:124" ht="108.75" hidden="1" customHeight="1" x14ac:dyDescent="0.3">
      <c r="A1072" s="143" t="s">
        <v>1066</v>
      </c>
      <c r="B1072" s="13">
        <v>936</v>
      </c>
      <c r="C1072" s="44" t="s">
        <v>209</v>
      </c>
      <c r="D1072" s="44" t="s">
        <v>117</v>
      </c>
      <c r="E1072" s="44" t="s">
        <v>997</v>
      </c>
      <c r="F1072" s="14" t="s">
        <v>50</v>
      </c>
      <c r="G1072" s="57">
        <f>G1073</f>
        <v>0</v>
      </c>
      <c r="H1072" s="116"/>
      <c r="I1072" s="117"/>
      <c r="J1072" s="116"/>
      <c r="K1072" s="80"/>
      <c r="L1072" s="79"/>
      <c r="M1072" s="79"/>
      <c r="AG1072" s="79"/>
      <c r="AH1072" s="79"/>
      <c r="DT1072" s="99">
        <f t="shared" si="18"/>
        <v>0</v>
      </c>
    </row>
    <row r="1073" spans="1:124" ht="37.5" hidden="1" x14ac:dyDescent="0.3">
      <c r="A1073" s="143" t="s">
        <v>425</v>
      </c>
      <c r="B1073" s="13">
        <v>936</v>
      </c>
      <c r="C1073" s="44" t="s">
        <v>209</v>
      </c>
      <c r="D1073" s="44" t="s">
        <v>117</v>
      </c>
      <c r="E1073" s="44" t="s">
        <v>997</v>
      </c>
      <c r="F1073" s="44" t="s">
        <v>59</v>
      </c>
      <c r="G1073" s="57">
        <v>0</v>
      </c>
      <c r="H1073" s="116"/>
      <c r="I1073" s="117"/>
      <c r="J1073" s="116"/>
      <c r="K1073" s="80"/>
      <c r="L1073" s="79"/>
      <c r="M1073" s="79">
        <v>225</v>
      </c>
      <c r="AG1073" s="79"/>
      <c r="AH1073" s="79"/>
      <c r="AK1073" s="79">
        <v>0</v>
      </c>
      <c r="AQ1073" s="151">
        <v>321.08699999999999</v>
      </c>
      <c r="CU1073" s="258">
        <v>561.79999999999995</v>
      </c>
      <c r="DT1073" s="99">
        <f t="shared" si="18"/>
        <v>0</v>
      </c>
    </row>
    <row r="1074" spans="1:124" ht="93.75" hidden="1" x14ac:dyDescent="0.3">
      <c r="A1074" s="143" t="s">
        <v>830</v>
      </c>
      <c r="B1074" s="13">
        <v>936</v>
      </c>
      <c r="C1074" s="44" t="s">
        <v>209</v>
      </c>
      <c r="D1074" s="44" t="s">
        <v>117</v>
      </c>
      <c r="E1074" s="44" t="s">
        <v>829</v>
      </c>
      <c r="F1074" s="14" t="s">
        <v>50</v>
      </c>
      <c r="G1074" s="57">
        <f>G1075</f>
        <v>0</v>
      </c>
      <c r="H1074" s="116"/>
      <c r="I1074" s="117"/>
      <c r="J1074" s="116"/>
      <c r="K1074" s="80"/>
      <c r="L1074" s="79"/>
      <c r="M1074" s="79"/>
      <c r="AG1074" s="79"/>
      <c r="AH1074" s="79"/>
      <c r="DT1074" s="99">
        <f t="shared" si="18"/>
        <v>0</v>
      </c>
    </row>
    <row r="1075" spans="1:124" ht="37.5" hidden="1" x14ac:dyDescent="0.3">
      <c r="A1075" s="143" t="s">
        <v>425</v>
      </c>
      <c r="B1075" s="13">
        <v>936</v>
      </c>
      <c r="C1075" s="44" t="s">
        <v>209</v>
      </c>
      <c r="D1075" s="44" t="s">
        <v>117</v>
      </c>
      <c r="E1075" s="44" t="s">
        <v>829</v>
      </c>
      <c r="F1075" s="44" t="s">
        <v>59</v>
      </c>
      <c r="G1075" s="57">
        <v>0</v>
      </c>
      <c r="H1075" s="116"/>
      <c r="I1075" s="117"/>
      <c r="J1075" s="116"/>
      <c r="K1075" s="80"/>
      <c r="L1075" s="79"/>
      <c r="M1075" s="79">
        <v>177</v>
      </c>
      <c r="AG1075" s="79"/>
      <c r="AH1075" s="79"/>
      <c r="AK1075" s="79">
        <v>0</v>
      </c>
      <c r="AQ1075" s="151">
        <v>541.63</v>
      </c>
      <c r="DT1075" s="99">
        <f t="shared" si="18"/>
        <v>0</v>
      </c>
    </row>
    <row r="1076" spans="1:124" ht="82.5" hidden="1" customHeight="1" x14ac:dyDescent="0.3">
      <c r="A1076" s="143" t="s">
        <v>720</v>
      </c>
      <c r="B1076" s="13">
        <v>936</v>
      </c>
      <c r="C1076" s="44" t="s">
        <v>209</v>
      </c>
      <c r="D1076" s="44" t="s">
        <v>117</v>
      </c>
      <c r="E1076" s="44" t="s">
        <v>719</v>
      </c>
      <c r="F1076" s="14" t="s">
        <v>50</v>
      </c>
      <c r="G1076" s="57">
        <f>G1077</f>
        <v>0</v>
      </c>
      <c r="H1076" s="116"/>
      <c r="I1076" s="117"/>
      <c r="J1076" s="116"/>
      <c r="K1076" s="80"/>
      <c r="L1076" s="79"/>
      <c r="M1076" s="79"/>
      <c r="AG1076" s="79"/>
      <c r="AH1076" s="79"/>
      <c r="DT1076" s="99">
        <f t="shared" si="18"/>
        <v>0</v>
      </c>
    </row>
    <row r="1077" spans="1:124" ht="47.25" hidden="1" customHeight="1" x14ac:dyDescent="0.3">
      <c r="A1077" s="143" t="s">
        <v>425</v>
      </c>
      <c r="B1077" s="13">
        <v>936</v>
      </c>
      <c r="C1077" s="44" t="s">
        <v>209</v>
      </c>
      <c r="D1077" s="44" t="s">
        <v>117</v>
      </c>
      <c r="E1077" s="44" t="s">
        <v>719</v>
      </c>
      <c r="F1077" s="44" t="s">
        <v>59</v>
      </c>
      <c r="G1077" s="57">
        <v>0</v>
      </c>
      <c r="H1077" s="116"/>
      <c r="I1077" s="117"/>
      <c r="J1077" s="116"/>
      <c r="K1077" s="80"/>
      <c r="L1077" s="79"/>
      <c r="M1077" s="79">
        <v>179</v>
      </c>
      <c r="AG1077" s="79"/>
      <c r="AH1077" s="79"/>
      <c r="AK1077" s="79">
        <v>0</v>
      </c>
      <c r="AQ1077" s="151">
        <v>252.696</v>
      </c>
      <c r="DT1077" s="99">
        <f t="shared" si="18"/>
        <v>0</v>
      </c>
    </row>
    <row r="1078" spans="1:124" ht="40.5" hidden="1" customHeight="1" x14ac:dyDescent="0.3">
      <c r="A1078" s="143" t="s">
        <v>409</v>
      </c>
      <c r="B1078" s="13">
        <v>936</v>
      </c>
      <c r="C1078" s="44" t="s">
        <v>209</v>
      </c>
      <c r="D1078" s="44" t="s">
        <v>117</v>
      </c>
      <c r="E1078" s="44" t="s">
        <v>421</v>
      </c>
      <c r="F1078" s="44" t="s">
        <v>50</v>
      </c>
      <c r="G1078" s="57"/>
      <c r="H1078" s="116"/>
      <c r="I1078" s="117"/>
      <c r="J1078" s="116"/>
      <c r="K1078" s="80"/>
      <c r="L1078" s="79"/>
      <c r="M1078" s="79"/>
      <c r="AG1078" s="79"/>
      <c r="AH1078" s="79"/>
      <c r="DT1078" s="99">
        <f t="shared" si="18"/>
        <v>0</v>
      </c>
    </row>
    <row r="1079" spans="1:124" ht="47.25" hidden="1" customHeight="1" x14ac:dyDescent="0.3">
      <c r="A1079" s="143" t="s">
        <v>685</v>
      </c>
      <c r="B1079" s="13">
        <v>936</v>
      </c>
      <c r="C1079" s="44" t="s">
        <v>209</v>
      </c>
      <c r="D1079" s="44" t="s">
        <v>117</v>
      </c>
      <c r="E1079" s="44" t="s">
        <v>683</v>
      </c>
      <c r="F1079" s="44" t="s">
        <v>50</v>
      </c>
      <c r="G1079" s="57"/>
      <c r="H1079" s="116"/>
      <c r="I1079" s="117"/>
      <c r="J1079" s="116"/>
      <c r="K1079" s="80"/>
      <c r="L1079" s="79"/>
      <c r="M1079" s="79"/>
      <c r="AG1079" s="79"/>
      <c r="AH1079" s="79"/>
      <c r="DT1079" s="99">
        <f t="shared" si="18"/>
        <v>0</v>
      </c>
    </row>
    <row r="1080" spans="1:124" ht="47.25" hidden="1" customHeight="1" x14ac:dyDescent="0.3">
      <c r="A1080" s="143" t="s">
        <v>425</v>
      </c>
      <c r="B1080" s="13">
        <v>936</v>
      </c>
      <c r="C1080" s="44" t="s">
        <v>209</v>
      </c>
      <c r="D1080" s="44" t="s">
        <v>117</v>
      </c>
      <c r="E1080" s="44" t="s">
        <v>683</v>
      </c>
      <c r="F1080" s="44" t="s">
        <v>59</v>
      </c>
      <c r="G1080" s="57"/>
      <c r="H1080" s="116"/>
      <c r="I1080" s="117"/>
      <c r="J1080" s="116"/>
      <c r="K1080" s="80"/>
      <c r="L1080" s="79"/>
      <c r="M1080" s="79"/>
      <c r="AG1080" s="79"/>
      <c r="AH1080" s="79"/>
      <c r="DT1080" s="99">
        <f t="shared" si="18"/>
        <v>0</v>
      </c>
    </row>
    <row r="1081" spans="1:124" ht="47.25" hidden="1" customHeight="1" x14ac:dyDescent="0.3">
      <c r="A1081" s="143" t="s">
        <v>685</v>
      </c>
      <c r="B1081" s="13">
        <v>936</v>
      </c>
      <c r="C1081" s="44" t="s">
        <v>209</v>
      </c>
      <c r="D1081" s="44" t="s">
        <v>117</v>
      </c>
      <c r="E1081" s="44" t="s">
        <v>684</v>
      </c>
      <c r="F1081" s="44" t="s">
        <v>50</v>
      </c>
      <c r="G1081" s="57"/>
      <c r="H1081" s="116"/>
      <c r="I1081" s="117"/>
      <c r="J1081" s="116"/>
      <c r="K1081" s="80"/>
      <c r="L1081" s="79"/>
      <c r="M1081" s="79"/>
      <c r="AG1081" s="79"/>
      <c r="AH1081" s="79"/>
      <c r="DT1081" s="99">
        <f t="shared" si="18"/>
        <v>0</v>
      </c>
    </row>
    <row r="1082" spans="1:124" ht="47.25" hidden="1" customHeight="1" x14ac:dyDescent="0.3">
      <c r="A1082" s="143" t="s">
        <v>425</v>
      </c>
      <c r="B1082" s="13">
        <v>936</v>
      </c>
      <c r="C1082" s="44" t="s">
        <v>209</v>
      </c>
      <c r="D1082" s="44" t="s">
        <v>117</v>
      </c>
      <c r="E1082" s="44" t="s">
        <v>684</v>
      </c>
      <c r="F1082" s="44" t="s">
        <v>59</v>
      </c>
      <c r="G1082" s="57"/>
      <c r="H1082" s="116"/>
      <c r="I1082" s="117"/>
      <c r="J1082" s="116"/>
      <c r="K1082" s="80"/>
      <c r="L1082" s="79"/>
      <c r="M1082" s="79"/>
      <c r="AG1082" s="79"/>
      <c r="AH1082" s="79"/>
      <c r="DT1082" s="99">
        <f t="shared" si="18"/>
        <v>0</v>
      </c>
    </row>
    <row r="1083" spans="1:124" ht="95.25" hidden="1" customHeight="1" x14ac:dyDescent="0.3">
      <c r="A1083" s="143" t="s">
        <v>722</v>
      </c>
      <c r="B1083" s="13">
        <v>936</v>
      </c>
      <c r="C1083" s="44" t="s">
        <v>209</v>
      </c>
      <c r="D1083" s="44" t="s">
        <v>117</v>
      </c>
      <c r="E1083" s="44" t="s">
        <v>721</v>
      </c>
      <c r="F1083" s="14" t="s">
        <v>50</v>
      </c>
      <c r="G1083" s="57">
        <f>G1084</f>
        <v>0</v>
      </c>
      <c r="H1083" s="116"/>
      <c r="I1083" s="117"/>
      <c r="J1083" s="116"/>
      <c r="K1083" s="80"/>
      <c r="L1083" s="79"/>
      <c r="M1083" s="79"/>
      <c r="AG1083" s="79"/>
      <c r="AH1083" s="79"/>
      <c r="DT1083" s="99">
        <f t="shared" si="18"/>
        <v>0</v>
      </c>
    </row>
    <row r="1084" spans="1:124" ht="47.25" hidden="1" customHeight="1" x14ac:dyDescent="0.3">
      <c r="A1084" s="143" t="s">
        <v>425</v>
      </c>
      <c r="B1084" s="13">
        <v>936</v>
      </c>
      <c r="C1084" s="44" t="s">
        <v>209</v>
      </c>
      <c r="D1084" s="44" t="s">
        <v>117</v>
      </c>
      <c r="E1084" s="44" t="s">
        <v>721</v>
      </c>
      <c r="F1084" s="44" t="s">
        <v>59</v>
      </c>
      <c r="G1084" s="57">
        <v>0</v>
      </c>
      <c r="H1084" s="116"/>
      <c r="I1084" s="117"/>
      <c r="J1084" s="116"/>
      <c r="K1084" s="80"/>
      <c r="L1084" s="79"/>
      <c r="M1084" s="79"/>
      <c r="AG1084" s="79"/>
      <c r="AH1084" s="79"/>
      <c r="AQ1084" s="151">
        <v>453</v>
      </c>
      <c r="DT1084" s="99">
        <f t="shared" si="18"/>
        <v>0</v>
      </c>
    </row>
    <row r="1085" spans="1:124" ht="72" hidden="1" customHeight="1" x14ac:dyDescent="0.3">
      <c r="A1085" s="143" t="s">
        <v>755</v>
      </c>
      <c r="B1085" s="13">
        <v>936</v>
      </c>
      <c r="C1085" s="44" t="s">
        <v>209</v>
      </c>
      <c r="D1085" s="44" t="s">
        <v>117</v>
      </c>
      <c r="E1085" s="44" t="s">
        <v>753</v>
      </c>
      <c r="F1085" s="14" t="s">
        <v>50</v>
      </c>
      <c r="G1085" s="57">
        <f>G1086</f>
        <v>0</v>
      </c>
      <c r="H1085" s="116"/>
      <c r="I1085" s="117"/>
      <c r="J1085" s="116"/>
      <c r="K1085" s="80"/>
      <c r="L1085" s="79"/>
      <c r="M1085" s="79"/>
      <c r="AG1085" s="79"/>
      <c r="AH1085" s="79"/>
      <c r="DT1085" s="99">
        <f t="shared" si="18"/>
        <v>0</v>
      </c>
    </row>
    <row r="1086" spans="1:124" ht="47.25" hidden="1" customHeight="1" x14ac:dyDescent="0.3">
      <c r="A1086" s="143" t="s">
        <v>425</v>
      </c>
      <c r="B1086" s="13">
        <v>936</v>
      </c>
      <c r="C1086" s="44" t="s">
        <v>209</v>
      </c>
      <c r="D1086" s="44" t="s">
        <v>117</v>
      </c>
      <c r="E1086" s="44" t="s">
        <v>753</v>
      </c>
      <c r="F1086" s="44" t="s">
        <v>59</v>
      </c>
      <c r="G1086" s="57">
        <v>0</v>
      </c>
      <c r="H1086" s="116"/>
      <c r="I1086" s="117"/>
      <c r="J1086" s="116"/>
      <c r="K1086" s="80"/>
      <c r="L1086" s="79"/>
      <c r="M1086" s="79"/>
      <c r="AG1086" s="79"/>
      <c r="AH1086" s="79"/>
      <c r="AV1086" s="194">
        <v>301</v>
      </c>
      <c r="DT1086" s="99">
        <f t="shared" si="18"/>
        <v>0</v>
      </c>
    </row>
    <row r="1087" spans="1:124" ht="89.25" hidden="1" customHeight="1" x14ac:dyDescent="0.3">
      <c r="A1087" s="143" t="s">
        <v>766</v>
      </c>
      <c r="B1087" s="13">
        <v>936</v>
      </c>
      <c r="C1087" s="44" t="s">
        <v>209</v>
      </c>
      <c r="D1087" s="44" t="s">
        <v>117</v>
      </c>
      <c r="E1087" s="44" t="s">
        <v>762</v>
      </c>
      <c r="F1087" s="44" t="s">
        <v>50</v>
      </c>
      <c r="G1087" s="57">
        <f>G1088</f>
        <v>0</v>
      </c>
      <c r="H1087" s="116"/>
      <c r="I1087" s="117"/>
      <c r="J1087" s="116"/>
      <c r="K1087" s="80"/>
      <c r="L1087" s="79"/>
      <c r="M1087" s="79"/>
      <c r="AG1087" s="79"/>
      <c r="AH1087" s="79"/>
      <c r="DT1087" s="99">
        <f t="shared" si="18"/>
        <v>0</v>
      </c>
    </row>
    <row r="1088" spans="1:124" ht="47.25" hidden="1" customHeight="1" x14ac:dyDescent="0.3">
      <c r="A1088" s="143" t="s">
        <v>425</v>
      </c>
      <c r="B1088" s="13">
        <v>936</v>
      </c>
      <c r="C1088" s="44" t="s">
        <v>209</v>
      </c>
      <c r="D1088" s="44" t="s">
        <v>117</v>
      </c>
      <c r="E1088" s="44" t="s">
        <v>762</v>
      </c>
      <c r="F1088" s="44" t="s">
        <v>59</v>
      </c>
      <c r="G1088" s="57">
        <v>0</v>
      </c>
      <c r="H1088" s="116"/>
      <c r="I1088" s="117"/>
      <c r="J1088" s="116"/>
      <c r="K1088" s="80"/>
      <c r="L1088" s="79"/>
      <c r="M1088" s="79"/>
      <c r="AG1088" s="79"/>
      <c r="AH1088" s="79"/>
      <c r="AY1088" s="226">
        <v>148</v>
      </c>
      <c r="DT1088" s="99">
        <f t="shared" si="18"/>
        <v>0</v>
      </c>
    </row>
    <row r="1089" spans="1:124" ht="86.25" hidden="1" customHeight="1" x14ac:dyDescent="0.3">
      <c r="A1089" s="143" t="s">
        <v>730</v>
      </c>
      <c r="B1089" s="13">
        <v>936</v>
      </c>
      <c r="C1089" s="44" t="s">
        <v>209</v>
      </c>
      <c r="D1089" s="44" t="s">
        <v>117</v>
      </c>
      <c r="E1089" s="44" t="s">
        <v>731</v>
      </c>
      <c r="F1089" s="14" t="s">
        <v>50</v>
      </c>
      <c r="G1089" s="57">
        <f>G1090+G1092+G1094+G1096</f>
        <v>0</v>
      </c>
      <c r="H1089" s="116"/>
      <c r="I1089" s="117"/>
      <c r="J1089" s="116"/>
      <c r="K1089" s="80"/>
      <c r="L1089" s="79"/>
      <c r="M1089" s="79"/>
      <c r="AG1089" s="79"/>
      <c r="AH1089" s="79"/>
      <c r="DT1089" s="99">
        <f t="shared" si="18"/>
        <v>0</v>
      </c>
    </row>
    <row r="1090" spans="1:124" ht="124.5" hidden="1" customHeight="1" x14ac:dyDescent="0.3">
      <c r="A1090" s="143" t="s">
        <v>732</v>
      </c>
      <c r="B1090" s="13">
        <v>936</v>
      </c>
      <c r="C1090" s="44" t="s">
        <v>209</v>
      </c>
      <c r="D1090" s="44" t="s">
        <v>117</v>
      </c>
      <c r="E1090" s="44" t="s">
        <v>733</v>
      </c>
      <c r="F1090" s="14" t="s">
        <v>50</v>
      </c>
      <c r="G1090" s="57">
        <f>G1091</f>
        <v>0</v>
      </c>
      <c r="H1090" s="116"/>
      <c r="I1090" s="117"/>
      <c r="J1090" s="116"/>
      <c r="K1090" s="80"/>
      <c r="L1090" s="79"/>
      <c r="M1090" s="79"/>
      <c r="AG1090" s="79"/>
      <c r="AH1090" s="79"/>
      <c r="DT1090" s="99">
        <f t="shared" si="18"/>
        <v>0</v>
      </c>
    </row>
    <row r="1091" spans="1:124" ht="47.25" hidden="1" customHeight="1" x14ac:dyDescent="0.3">
      <c r="A1091" s="143" t="s">
        <v>425</v>
      </c>
      <c r="B1091" s="13">
        <v>936</v>
      </c>
      <c r="C1091" s="44" t="s">
        <v>209</v>
      </c>
      <c r="D1091" s="44" t="s">
        <v>117</v>
      </c>
      <c r="E1091" s="44" t="s">
        <v>733</v>
      </c>
      <c r="F1091" s="44" t="s">
        <v>59</v>
      </c>
      <c r="G1091" s="57">
        <v>0</v>
      </c>
      <c r="H1091" s="116"/>
      <c r="I1091" s="117"/>
      <c r="J1091" s="116"/>
      <c r="K1091" s="80"/>
      <c r="L1091" s="79"/>
      <c r="M1091" s="79"/>
      <c r="AG1091" s="79"/>
      <c r="AH1091" s="79"/>
      <c r="AQ1091" s="151">
        <v>43.574280000000002</v>
      </c>
      <c r="DT1091" s="99">
        <f t="shared" si="18"/>
        <v>0</v>
      </c>
    </row>
    <row r="1092" spans="1:124" ht="129" hidden="1" customHeight="1" x14ac:dyDescent="0.3">
      <c r="A1092" s="143" t="s">
        <v>735</v>
      </c>
      <c r="B1092" s="13">
        <v>936</v>
      </c>
      <c r="C1092" s="44" t="s">
        <v>209</v>
      </c>
      <c r="D1092" s="44" t="s">
        <v>117</v>
      </c>
      <c r="E1092" s="44" t="s">
        <v>734</v>
      </c>
      <c r="F1092" s="14" t="s">
        <v>50</v>
      </c>
      <c r="G1092" s="57">
        <f>G1093</f>
        <v>0</v>
      </c>
      <c r="H1092" s="116"/>
      <c r="I1092" s="117"/>
      <c r="J1092" s="116"/>
      <c r="K1092" s="80"/>
      <c r="L1092" s="79"/>
      <c r="M1092" s="79"/>
      <c r="AG1092" s="79"/>
      <c r="AH1092" s="79"/>
      <c r="DT1092" s="99">
        <f t="shared" si="18"/>
        <v>0</v>
      </c>
    </row>
    <row r="1093" spans="1:124" ht="47.25" hidden="1" customHeight="1" x14ac:dyDescent="0.3">
      <c r="A1093" s="143" t="s">
        <v>425</v>
      </c>
      <c r="B1093" s="13">
        <v>936</v>
      </c>
      <c r="C1093" s="44" t="s">
        <v>209</v>
      </c>
      <c r="D1093" s="44" t="s">
        <v>117</v>
      </c>
      <c r="E1093" s="44" t="s">
        <v>734</v>
      </c>
      <c r="F1093" s="44" t="s">
        <v>59</v>
      </c>
      <c r="G1093" s="57">
        <v>0</v>
      </c>
      <c r="H1093" s="116"/>
      <c r="I1093" s="117"/>
      <c r="J1093" s="116"/>
      <c r="K1093" s="80"/>
      <c r="L1093" s="79"/>
      <c r="M1093" s="79"/>
      <c r="AG1093" s="79"/>
      <c r="AH1093" s="79"/>
      <c r="AQ1093" s="151">
        <v>33.39</v>
      </c>
      <c r="DT1093" s="99">
        <f t="shared" si="18"/>
        <v>0</v>
      </c>
    </row>
    <row r="1094" spans="1:124" ht="113.25" hidden="1" customHeight="1" x14ac:dyDescent="0.3">
      <c r="A1094" s="143" t="s">
        <v>736</v>
      </c>
      <c r="B1094" s="13">
        <v>936</v>
      </c>
      <c r="C1094" s="44" t="s">
        <v>209</v>
      </c>
      <c r="D1094" s="44" t="s">
        <v>117</v>
      </c>
      <c r="E1094" s="44" t="s">
        <v>744</v>
      </c>
      <c r="F1094" s="14" t="s">
        <v>50</v>
      </c>
      <c r="G1094" s="57">
        <f>G1095</f>
        <v>0</v>
      </c>
      <c r="H1094" s="116"/>
      <c r="I1094" s="117"/>
      <c r="J1094" s="116"/>
      <c r="K1094" s="80"/>
      <c r="L1094" s="79"/>
      <c r="M1094" s="79"/>
      <c r="AG1094" s="79"/>
      <c r="AH1094" s="79"/>
      <c r="DT1094" s="99">
        <f t="shared" si="18"/>
        <v>0</v>
      </c>
    </row>
    <row r="1095" spans="1:124" ht="47.25" hidden="1" customHeight="1" x14ac:dyDescent="0.3">
      <c r="A1095" s="143" t="s">
        <v>425</v>
      </c>
      <c r="B1095" s="13">
        <v>936</v>
      </c>
      <c r="C1095" s="44" t="s">
        <v>209</v>
      </c>
      <c r="D1095" s="44" t="s">
        <v>117</v>
      </c>
      <c r="E1095" s="44" t="s">
        <v>744</v>
      </c>
      <c r="F1095" s="44" t="s">
        <v>59</v>
      </c>
      <c r="G1095" s="57">
        <v>0</v>
      </c>
      <c r="H1095" s="116"/>
      <c r="I1095" s="117"/>
      <c r="J1095" s="116"/>
      <c r="K1095" s="80"/>
      <c r="L1095" s="79"/>
      <c r="M1095" s="79"/>
      <c r="AG1095" s="79"/>
      <c r="AH1095" s="79"/>
      <c r="AQ1095" s="151">
        <v>49.619149999999998</v>
      </c>
      <c r="DT1095" s="99">
        <f t="shared" si="18"/>
        <v>0</v>
      </c>
    </row>
    <row r="1096" spans="1:124" ht="142.5" hidden="1" customHeight="1" x14ac:dyDescent="0.3">
      <c r="A1096" s="143" t="s">
        <v>738</v>
      </c>
      <c r="B1096" s="13">
        <v>936</v>
      </c>
      <c r="C1096" s="44" t="s">
        <v>209</v>
      </c>
      <c r="D1096" s="44" t="s">
        <v>117</v>
      </c>
      <c r="E1096" s="44" t="s">
        <v>737</v>
      </c>
      <c r="F1096" s="14" t="s">
        <v>50</v>
      </c>
      <c r="G1096" s="57">
        <f>G1097</f>
        <v>0</v>
      </c>
      <c r="H1096" s="116"/>
      <c r="I1096" s="117"/>
      <c r="J1096" s="116"/>
      <c r="K1096" s="80"/>
      <c r="L1096" s="79"/>
      <c r="M1096" s="79"/>
      <c r="AG1096" s="79"/>
      <c r="AH1096" s="79"/>
      <c r="DT1096" s="99">
        <f t="shared" si="18"/>
        <v>0</v>
      </c>
    </row>
    <row r="1097" spans="1:124" ht="47.25" hidden="1" customHeight="1" x14ac:dyDescent="0.3">
      <c r="A1097" s="143" t="s">
        <v>425</v>
      </c>
      <c r="B1097" s="13">
        <v>936</v>
      </c>
      <c r="C1097" s="44" t="s">
        <v>209</v>
      </c>
      <c r="D1097" s="44" t="s">
        <v>117</v>
      </c>
      <c r="E1097" s="44" t="s">
        <v>737</v>
      </c>
      <c r="F1097" s="44" t="s">
        <v>59</v>
      </c>
      <c r="G1097" s="57">
        <v>0</v>
      </c>
      <c r="H1097" s="116"/>
      <c r="I1097" s="117"/>
      <c r="J1097" s="116"/>
      <c r="K1097" s="80"/>
      <c r="L1097" s="79"/>
      <c r="M1097" s="79"/>
      <c r="AG1097" s="79"/>
      <c r="AH1097" s="79"/>
      <c r="AQ1097" s="151">
        <v>0.45981</v>
      </c>
      <c r="DT1097" s="99">
        <f t="shared" si="18"/>
        <v>0</v>
      </c>
    </row>
    <row r="1098" spans="1:124" ht="82.5" hidden="1" customHeight="1" x14ac:dyDescent="0.3">
      <c r="A1098" s="143" t="s">
        <v>886</v>
      </c>
      <c r="B1098" s="13">
        <v>936</v>
      </c>
      <c r="C1098" s="44" t="s">
        <v>209</v>
      </c>
      <c r="D1098" s="44" t="s">
        <v>117</v>
      </c>
      <c r="E1098" s="44" t="s">
        <v>889</v>
      </c>
      <c r="F1098" s="14" t="s">
        <v>50</v>
      </c>
      <c r="G1098" s="57">
        <f>G1099</f>
        <v>0</v>
      </c>
      <c r="H1098" s="116"/>
      <c r="I1098" s="117"/>
      <c r="J1098" s="116"/>
      <c r="K1098" s="80"/>
      <c r="L1098" s="79"/>
      <c r="M1098" s="79"/>
      <c r="AG1098" s="79"/>
      <c r="AH1098" s="79"/>
      <c r="DT1098" s="99">
        <f t="shared" si="18"/>
        <v>0</v>
      </c>
    </row>
    <row r="1099" spans="1:124" ht="47.25" hidden="1" customHeight="1" x14ac:dyDescent="0.3">
      <c r="A1099" s="143" t="s">
        <v>425</v>
      </c>
      <c r="B1099" s="13">
        <v>936</v>
      </c>
      <c r="C1099" s="44" t="s">
        <v>209</v>
      </c>
      <c r="D1099" s="44" t="s">
        <v>117</v>
      </c>
      <c r="E1099" s="44" t="s">
        <v>889</v>
      </c>
      <c r="F1099" s="44" t="s">
        <v>59</v>
      </c>
      <c r="G1099" s="57">
        <v>0</v>
      </c>
      <c r="H1099" s="116"/>
      <c r="I1099" s="117"/>
      <c r="J1099" s="116"/>
      <c r="K1099" s="80"/>
      <c r="L1099" s="79"/>
      <c r="M1099" s="79"/>
      <c r="AG1099" s="79"/>
      <c r="AH1099" s="79"/>
      <c r="CB1099" s="226">
        <v>321.08699999999999</v>
      </c>
      <c r="DT1099" s="99">
        <f t="shared" si="18"/>
        <v>0</v>
      </c>
    </row>
    <row r="1100" spans="1:124" ht="66.75" hidden="1" customHeight="1" x14ac:dyDescent="0.3">
      <c r="A1100" s="143" t="s">
        <v>887</v>
      </c>
      <c r="B1100" s="13">
        <v>936</v>
      </c>
      <c r="C1100" s="44" t="s">
        <v>209</v>
      </c>
      <c r="D1100" s="44" t="s">
        <v>117</v>
      </c>
      <c r="E1100" s="44" t="s">
        <v>888</v>
      </c>
      <c r="F1100" s="14" t="s">
        <v>50</v>
      </c>
      <c r="G1100" s="57">
        <f>G1101</f>
        <v>0</v>
      </c>
      <c r="H1100" s="116"/>
      <c r="I1100" s="117"/>
      <c r="J1100" s="116"/>
      <c r="K1100" s="80"/>
      <c r="L1100" s="79"/>
      <c r="M1100" s="79"/>
      <c r="AG1100" s="79"/>
      <c r="AH1100" s="79"/>
      <c r="DT1100" s="99">
        <f t="shared" si="18"/>
        <v>0</v>
      </c>
    </row>
    <row r="1101" spans="1:124" ht="47.25" hidden="1" customHeight="1" x14ac:dyDescent="0.3">
      <c r="A1101" s="143" t="s">
        <v>425</v>
      </c>
      <c r="B1101" s="13">
        <v>936</v>
      </c>
      <c r="C1101" s="44" t="s">
        <v>209</v>
      </c>
      <c r="D1101" s="44" t="s">
        <v>117</v>
      </c>
      <c r="E1101" s="44" t="s">
        <v>888</v>
      </c>
      <c r="F1101" s="44" t="s">
        <v>59</v>
      </c>
      <c r="G1101" s="57">
        <v>0</v>
      </c>
      <c r="H1101" s="116"/>
      <c r="I1101" s="117"/>
      <c r="J1101" s="116"/>
      <c r="K1101" s="80"/>
      <c r="L1101" s="79"/>
      <c r="M1101" s="79"/>
      <c r="AG1101" s="79"/>
      <c r="AH1101" s="79"/>
      <c r="CB1101" s="226">
        <v>541.63</v>
      </c>
      <c r="DT1101" s="99">
        <f t="shared" ref="DT1101:DT1164" si="19">DN1101+DO1101+DP1101+DQ1101+DR1101+DS1101</f>
        <v>0</v>
      </c>
    </row>
    <row r="1102" spans="1:124" ht="72.75" hidden="1" customHeight="1" x14ac:dyDescent="0.3">
      <c r="A1102" s="143" t="s">
        <v>912</v>
      </c>
      <c r="B1102" s="13">
        <v>936</v>
      </c>
      <c r="C1102" s="44" t="s">
        <v>209</v>
      </c>
      <c r="D1102" s="44" t="s">
        <v>117</v>
      </c>
      <c r="E1102" s="44" t="s">
        <v>911</v>
      </c>
      <c r="F1102" s="14" t="s">
        <v>50</v>
      </c>
      <c r="G1102" s="57">
        <f>G1103</f>
        <v>0</v>
      </c>
      <c r="H1102" s="116"/>
      <c r="I1102" s="117"/>
      <c r="J1102" s="116"/>
      <c r="K1102" s="80"/>
      <c r="L1102" s="79"/>
      <c r="M1102" s="79"/>
      <c r="AG1102" s="79"/>
      <c r="AH1102" s="79"/>
      <c r="DT1102" s="99">
        <f t="shared" si="19"/>
        <v>0</v>
      </c>
    </row>
    <row r="1103" spans="1:124" ht="47.25" hidden="1" customHeight="1" x14ac:dyDescent="0.3">
      <c r="A1103" s="143" t="s">
        <v>425</v>
      </c>
      <c r="B1103" s="13">
        <v>936</v>
      </c>
      <c r="C1103" s="44" t="s">
        <v>209</v>
      </c>
      <c r="D1103" s="44" t="s">
        <v>117</v>
      </c>
      <c r="E1103" s="44" t="s">
        <v>911</v>
      </c>
      <c r="F1103" s="44" t="s">
        <v>59</v>
      </c>
      <c r="G1103" s="57">
        <v>0</v>
      </c>
      <c r="H1103" s="116"/>
      <c r="I1103" s="117"/>
      <c r="J1103" s="116"/>
      <c r="K1103" s="80"/>
      <c r="L1103" s="79"/>
      <c r="M1103" s="79"/>
      <c r="AG1103" s="79"/>
      <c r="AH1103" s="79"/>
      <c r="CF1103" s="194">
        <v>225</v>
      </c>
      <c r="DT1103" s="99">
        <f t="shared" si="19"/>
        <v>0</v>
      </c>
    </row>
    <row r="1104" spans="1:124" ht="63.6" hidden="1" customHeight="1" x14ac:dyDescent="0.3">
      <c r="A1104" s="244" t="s">
        <v>954</v>
      </c>
      <c r="B1104" s="13">
        <v>936</v>
      </c>
      <c r="C1104" s="14" t="s">
        <v>209</v>
      </c>
      <c r="D1104" s="14" t="s">
        <v>117</v>
      </c>
      <c r="E1104" s="44" t="s">
        <v>952</v>
      </c>
      <c r="F1104" s="14" t="s">
        <v>50</v>
      </c>
      <c r="G1104" s="57">
        <f>G1105</f>
        <v>0</v>
      </c>
      <c r="H1104" s="116"/>
      <c r="I1104" s="117"/>
      <c r="J1104" s="116"/>
      <c r="K1104" s="80"/>
      <c r="L1104" s="79"/>
      <c r="M1104" s="79"/>
      <c r="AG1104" s="79"/>
      <c r="AH1104" s="79"/>
      <c r="DT1104" s="99">
        <f t="shared" si="19"/>
        <v>0</v>
      </c>
    </row>
    <row r="1105" spans="1:124" ht="47.25" hidden="1" customHeight="1" x14ac:dyDescent="0.3">
      <c r="A1105" s="143" t="s">
        <v>425</v>
      </c>
      <c r="B1105" s="13">
        <v>936</v>
      </c>
      <c r="C1105" s="14" t="s">
        <v>209</v>
      </c>
      <c r="D1105" s="14" t="s">
        <v>117</v>
      </c>
      <c r="E1105" s="44" t="s">
        <v>952</v>
      </c>
      <c r="F1105" s="14" t="s">
        <v>59</v>
      </c>
      <c r="G1105" s="57">
        <v>0</v>
      </c>
      <c r="H1105" s="116"/>
      <c r="I1105" s="117"/>
      <c r="J1105" s="116"/>
      <c r="K1105" s="80"/>
      <c r="L1105" s="79"/>
      <c r="M1105" s="79"/>
      <c r="AG1105" s="79"/>
      <c r="AH1105" s="79"/>
      <c r="DT1105" s="99">
        <f t="shared" si="19"/>
        <v>0</v>
      </c>
    </row>
    <row r="1106" spans="1:124" ht="63" hidden="1" customHeight="1" x14ac:dyDescent="0.3">
      <c r="A1106" s="244" t="s">
        <v>954</v>
      </c>
      <c r="B1106" s="13">
        <v>936</v>
      </c>
      <c r="C1106" s="14" t="s">
        <v>209</v>
      </c>
      <c r="D1106" s="14" t="s">
        <v>117</v>
      </c>
      <c r="E1106" s="44" t="s">
        <v>953</v>
      </c>
      <c r="F1106" s="14" t="s">
        <v>50</v>
      </c>
      <c r="G1106" s="57">
        <f>G1107</f>
        <v>0</v>
      </c>
      <c r="H1106" s="116"/>
      <c r="I1106" s="117"/>
      <c r="J1106" s="116"/>
      <c r="K1106" s="80"/>
      <c r="L1106" s="79"/>
      <c r="M1106" s="79"/>
      <c r="AG1106" s="79"/>
      <c r="AH1106" s="79"/>
      <c r="DT1106" s="99">
        <f t="shared" si="19"/>
        <v>0</v>
      </c>
    </row>
    <row r="1107" spans="1:124" ht="47.25" hidden="1" customHeight="1" x14ac:dyDescent="0.3">
      <c r="A1107" s="143" t="s">
        <v>425</v>
      </c>
      <c r="B1107" s="13">
        <v>936</v>
      </c>
      <c r="C1107" s="14" t="s">
        <v>209</v>
      </c>
      <c r="D1107" s="14" t="s">
        <v>117</v>
      </c>
      <c r="E1107" s="44" t="s">
        <v>953</v>
      </c>
      <c r="F1107" s="14" t="s">
        <v>59</v>
      </c>
      <c r="G1107" s="57">
        <v>0</v>
      </c>
      <c r="H1107" s="116"/>
      <c r="I1107" s="117"/>
      <c r="J1107" s="116"/>
      <c r="K1107" s="80"/>
      <c r="L1107" s="79"/>
      <c r="M1107" s="79"/>
      <c r="AG1107" s="79"/>
      <c r="AH1107" s="79"/>
      <c r="DT1107" s="99">
        <f t="shared" si="19"/>
        <v>0</v>
      </c>
    </row>
    <row r="1108" spans="1:124" ht="50.25" customHeight="1" x14ac:dyDescent="0.3">
      <c r="A1108" s="156" t="s">
        <v>12</v>
      </c>
      <c r="B1108" s="13">
        <v>936</v>
      </c>
      <c r="C1108" s="14" t="s">
        <v>209</v>
      </c>
      <c r="D1108" s="14" t="s">
        <v>117</v>
      </c>
      <c r="E1108" s="15" t="s">
        <v>102</v>
      </c>
      <c r="F1108" s="14" t="s">
        <v>50</v>
      </c>
      <c r="G1108" s="57">
        <f>G1111+G1123+G1119</f>
        <v>128637.79999999999</v>
      </c>
      <c r="H1108" s="116"/>
      <c r="I1108" s="117"/>
      <c r="J1108" s="116"/>
      <c r="K1108" s="80"/>
      <c r="L1108" s="79"/>
      <c r="M1108" s="79"/>
      <c r="AG1108" s="79"/>
      <c r="AH1108" s="79"/>
      <c r="DT1108" s="99">
        <f t="shared" si="19"/>
        <v>0</v>
      </c>
    </row>
    <row r="1109" spans="1:124" ht="56.25" hidden="1" x14ac:dyDescent="0.3">
      <c r="A1109" s="143" t="s">
        <v>253</v>
      </c>
      <c r="B1109" s="13">
        <v>936</v>
      </c>
      <c r="C1109" s="14" t="s">
        <v>209</v>
      </c>
      <c r="D1109" s="14" t="s">
        <v>117</v>
      </c>
      <c r="E1109" s="14" t="s">
        <v>256</v>
      </c>
      <c r="F1109" s="14" t="s">
        <v>50</v>
      </c>
      <c r="G1109" s="57">
        <f>G1110</f>
        <v>0</v>
      </c>
      <c r="H1109" s="116"/>
      <c r="I1109" s="117"/>
      <c r="J1109" s="116"/>
      <c r="K1109" s="80"/>
      <c r="L1109" s="79"/>
      <c r="M1109" s="79"/>
      <c r="AG1109" s="79"/>
      <c r="AH1109" s="79"/>
      <c r="DT1109" s="99">
        <f t="shared" si="19"/>
        <v>0</v>
      </c>
    </row>
    <row r="1110" spans="1:124" ht="37.5" hidden="1" x14ac:dyDescent="0.3">
      <c r="A1110" s="143" t="s">
        <v>425</v>
      </c>
      <c r="B1110" s="13">
        <v>936</v>
      </c>
      <c r="C1110" s="14" t="s">
        <v>209</v>
      </c>
      <c r="D1110" s="14" t="s">
        <v>117</v>
      </c>
      <c r="E1110" s="14" t="s">
        <v>256</v>
      </c>
      <c r="F1110" s="14" t="s">
        <v>59</v>
      </c>
      <c r="G1110" s="57">
        <v>0</v>
      </c>
      <c r="H1110" s="116"/>
      <c r="I1110" s="117"/>
      <c r="J1110" s="116"/>
      <c r="K1110" s="80"/>
      <c r="L1110" s="79"/>
      <c r="M1110" s="79"/>
      <c r="AG1110" s="79"/>
      <c r="AH1110" s="79"/>
      <c r="DT1110" s="99">
        <f t="shared" si="19"/>
        <v>0</v>
      </c>
    </row>
    <row r="1111" spans="1:124" ht="37.5" hidden="1" collapsed="1" x14ac:dyDescent="0.3">
      <c r="A1111" s="181" t="s">
        <v>401</v>
      </c>
      <c r="B1111" s="49">
        <v>936</v>
      </c>
      <c r="C1111" s="44" t="s">
        <v>209</v>
      </c>
      <c r="D1111" s="44" t="s">
        <v>117</v>
      </c>
      <c r="E1111" s="44" t="s">
        <v>1138</v>
      </c>
      <c r="F1111" s="20" t="s">
        <v>50</v>
      </c>
      <c r="G1111" s="57">
        <f>G1112</f>
        <v>119780.4</v>
      </c>
      <c r="H1111" s="116"/>
      <c r="I1111" s="117"/>
      <c r="J1111" s="116"/>
      <c r="K1111" s="80"/>
      <c r="L1111" s="79"/>
      <c r="M1111" s="79"/>
      <c r="AG1111" s="79"/>
      <c r="AH1111" s="79"/>
      <c r="DT1111" s="99">
        <f t="shared" si="19"/>
        <v>0</v>
      </c>
    </row>
    <row r="1112" spans="1:124" ht="45.75" customHeight="1" x14ac:dyDescent="0.3">
      <c r="A1112" s="181" t="s">
        <v>1139</v>
      </c>
      <c r="B1112" s="49">
        <v>936</v>
      </c>
      <c r="C1112" s="44" t="s">
        <v>209</v>
      </c>
      <c r="D1112" s="44" t="s">
        <v>117</v>
      </c>
      <c r="E1112" s="44" t="s">
        <v>1140</v>
      </c>
      <c r="F1112" s="20" t="s">
        <v>50</v>
      </c>
      <c r="G1112" s="57">
        <f>G1113+G1117+G1121</f>
        <v>119780.4</v>
      </c>
      <c r="H1112" s="116"/>
      <c r="I1112" s="117"/>
      <c r="J1112" s="116"/>
      <c r="K1112" s="80"/>
      <c r="L1112" s="79"/>
      <c r="M1112" s="79"/>
      <c r="AG1112" s="79"/>
      <c r="AH1112" s="79"/>
      <c r="DT1112" s="99">
        <f t="shared" si="19"/>
        <v>0</v>
      </c>
    </row>
    <row r="1113" spans="1:124" ht="38.25" customHeight="1" x14ac:dyDescent="0.3">
      <c r="A1113" s="163" t="s">
        <v>352</v>
      </c>
      <c r="B1113" s="49">
        <v>936</v>
      </c>
      <c r="C1113" s="44" t="s">
        <v>209</v>
      </c>
      <c r="D1113" s="44" t="s">
        <v>117</v>
      </c>
      <c r="E1113" s="44" t="s">
        <v>1140</v>
      </c>
      <c r="F1113" s="44" t="s">
        <v>50</v>
      </c>
      <c r="G1113" s="57">
        <f>G1114+G1116+G1115</f>
        <v>13132</v>
      </c>
      <c r="H1113" s="116"/>
      <c r="I1113" s="117"/>
      <c r="J1113" s="116"/>
      <c r="K1113" s="80"/>
      <c r="L1113" s="79"/>
      <c r="M1113" s="79"/>
      <c r="AG1113" s="79"/>
      <c r="AH1113" s="79"/>
      <c r="DT1113" s="99">
        <f t="shared" si="19"/>
        <v>0</v>
      </c>
    </row>
    <row r="1114" spans="1:124" ht="38.25" customHeight="1" x14ac:dyDescent="0.3">
      <c r="A1114" s="143" t="s">
        <v>425</v>
      </c>
      <c r="B1114" s="58">
        <v>936</v>
      </c>
      <c r="C1114" s="44" t="s">
        <v>209</v>
      </c>
      <c r="D1114" s="44" t="s">
        <v>117</v>
      </c>
      <c r="E1114" s="44" t="s">
        <v>1141</v>
      </c>
      <c r="F1114" s="44" t="s">
        <v>59</v>
      </c>
      <c r="G1114" s="57">
        <f>DT1114</f>
        <v>13132</v>
      </c>
      <c r="H1114" s="116"/>
      <c r="I1114" s="117">
        <v>14080.7</v>
      </c>
      <c r="J1114" s="116">
        <v>142.30000000000001</v>
      </c>
      <c r="K1114" s="80">
        <v>842.7</v>
      </c>
      <c r="L1114" s="79"/>
      <c r="M1114" s="79">
        <v>8.6</v>
      </c>
      <c r="T1114">
        <f>-0.1634-230.41008</f>
        <v>-230.57347999999999</v>
      </c>
      <c r="U1114">
        <f>-3026.5-808.97308+500</f>
        <v>-3335.4730799999998</v>
      </c>
      <c r="Z1114">
        <v>12.06954</v>
      </c>
      <c r="AG1114" s="79"/>
      <c r="AH1114" s="79"/>
      <c r="AK1114" s="79">
        <v>17152.3</v>
      </c>
      <c r="AN1114" s="150">
        <v>25.5</v>
      </c>
      <c r="AO1114" s="150">
        <v>2523.3000000000002</v>
      </c>
      <c r="AR1114" s="194">
        <v>-2557.4560000000001</v>
      </c>
      <c r="BO1114" s="238">
        <f>12659.5+102125.1</f>
        <v>114784.6</v>
      </c>
      <c r="BP1114" s="239">
        <v>127.9</v>
      </c>
      <c r="BT1114" s="151">
        <v>-254.4</v>
      </c>
      <c r="BU1114" s="151">
        <v>-2.5</v>
      </c>
      <c r="CQ1114" s="99">
        <f>13000+132</f>
        <v>13132</v>
      </c>
      <c r="CY1114" s="194">
        <v>-0.68600000000000005</v>
      </c>
      <c r="DN1114" s="274">
        <f>119780.4-106648.4</f>
        <v>13132</v>
      </c>
      <c r="DT1114" s="99">
        <f t="shared" si="19"/>
        <v>13132</v>
      </c>
    </row>
    <row r="1115" spans="1:124" ht="61.5" hidden="1" customHeight="1" x14ac:dyDescent="0.3">
      <c r="A1115" s="143" t="s">
        <v>290</v>
      </c>
      <c r="B1115" s="58">
        <v>936</v>
      </c>
      <c r="C1115" s="44" t="s">
        <v>209</v>
      </c>
      <c r="D1115" s="44" t="s">
        <v>117</v>
      </c>
      <c r="E1115" s="44" t="s">
        <v>355</v>
      </c>
      <c r="F1115" s="44" t="s">
        <v>291</v>
      </c>
      <c r="G1115" s="57">
        <f>U1115+T1115-652.08195-2104.82813</f>
        <v>0</v>
      </c>
      <c r="H1115" s="116"/>
      <c r="I1115" s="117"/>
      <c r="J1115" s="116"/>
      <c r="K1115" s="80"/>
      <c r="L1115" s="79"/>
      <c r="M1115" s="79"/>
      <c r="T1115">
        <v>230.41007999999999</v>
      </c>
      <c r="U1115">
        <f>3026.5-500</f>
        <v>2526.5</v>
      </c>
      <c r="AG1115" s="79"/>
      <c r="AH1115" s="79"/>
      <c r="DT1115" s="99">
        <f t="shared" si="19"/>
        <v>0</v>
      </c>
    </row>
    <row r="1116" spans="1:124" ht="38.25" hidden="1" customHeight="1" x14ac:dyDescent="0.3">
      <c r="A1116" s="143" t="s">
        <v>264</v>
      </c>
      <c r="B1116" s="58">
        <v>936</v>
      </c>
      <c r="C1116" s="44" t="s">
        <v>209</v>
      </c>
      <c r="D1116" s="44" t="s">
        <v>117</v>
      </c>
      <c r="E1116" s="44" t="s">
        <v>355</v>
      </c>
      <c r="F1116" s="44" t="s">
        <v>261</v>
      </c>
      <c r="G1116" s="57">
        <v>0</v>
      </c>
      <c r="H1116" s="116"/>
      <c r="I1116" s="117"/>
      <c r="J1116" s="116"/>
      <c r="K1116" s="82"/>
      <c r="L1116" s="79"/>
      <c r="M1116" s="79"/>
      <c r="T1116">
        <v>-5.9999999999999995E-4</v>
      </c>
      <c r="U1116">
        <v>808.97307999999998</v>
      </c>
      <c r="Z1116">
        <v>-12.06954</v>
      </c>
      <c r="AG1116" s="79"/>
      <c r="AH1116" s="79"/>
      <c r="AK1116" s="79">
        <v>0</v>
      </c>
      <c r="DT1116" s="99">
        <f t="shared" si="19"/>
        <v>0</v>
      </c>
    </row>
    <row r="1117" spans="1:124" ht="38.25" hidden="1" customHeight="1" x14ac:dyDescent="0.3">
      <c r="A1117" s="163" t="s">
        <v>352</v>
      </c>
      <c r="B1117" s="49">
        <v>936</v>
      </c>
      <c r="C1117" s="44" t="s">
        <v>209</v>
      </c>
      <c r="D1117" s="44" t="s">
        <v>117</v>
      </c>
      <c r="E1117" s="44" t="s">
        <v>743</v>
      </c>
      <c r="F1117" s="44" t="s">
        <v>50</v>
      </c>
      <c r="G1117" s="57">
        <f>G1118</f>
        <v>0</v>
      </c>
      <c r="H1117" s="116"/>
      <c r="I1117" s="117"/>
      <c r="J1117" s="116"/>
      <c r="K1117" s="82"/>
      <c r="L1117" s="79"/>
      <c r="M1117" s="79"/>
      <c r="AG1117" s="79"/>
      <c r="AH1117" s="79"/>
      <c r="DT1117" s="99">
        <f t="shared" si="19"/>
        <v>0</v>
      </c>
    </row>
    <row r="1118" spans="1:124" ht="38.25" hidden="1" customHeight="1" x14ac:dyDescent="0.3">
      <c r="A1118" s="143" t="s">
        <v>425</v>
      </c>
      <c r="B1118" s="58">
        <v>936</v>
      </c>
      <c r="C1118" s="44" t="s">
        <v>209</v>
      </c>
      <c r="D1118" s="44" t="s">
        <v>117</v>
      </c>
      <c r="E1118" s="44" t="s">
        <v>743</v>
      </c>
      <c r="F1118" s="44" t="s">
        <v>59</v>
      </c>
      <c r="G1118" s="57">
        <v>0</v>
      </c>
      <c r="H1118" s="116"/>
      <c r="I1118" s="117"/>
      <c r="J1118" s="116"/>
      <c r="K1118" s="82"/>
      <c r="L1118" s="79"/>
      <c r="M1118" s="79"/>
      <c r="AG1118" s="79"/>
      <c r="AH1118" s="79"/>
      <c r="AR1118" s="194">
        <v>2557.4560000000001</v>
      </c>
      <c r="DT1118" s="99">
        <f t="shared" si="19"/>
        <v>0</v>
      </c>
    </row>
    <row r="1119" spans="1:124" ht="90.75" hidden="1" customHeight="1" x14ac:dyDescent="0.3">
      <c r="A1119" s="143" t="s">
        <v>809</v>
      </c>
      <c r="B1119" s="58">
        <v>936</v>
      </c>
      <c r="C1119" s="44" t="s">
        <v>209</v>
      </c>
      <c r="D1119" s="44" t="s">
        <v>117</v>
      </c>
      <c r="E1119" s="44" t="s">
        <v>808</v>
      </c>
      <c r="F1119" s="44" t="s">
        <v>50</v>
      </c>
      <c r="G1119" s="57">
        <f>G1120</f>
        <v>0</v>
      </c>
      <c r="H1119" s="116"/>
      <c r="I1119" s="117"/>
      <c r="J1119" s="116"/>
      <c r="K1119" s="82"/>
      <c r="L1119" s="79"/>
      <c r="M1119" s="79"/>
      <c r="AG1119" s="79"/>
      <c r="AH1119" s="79"/>
      <c r="DT1119" s="99">
        <f t="shared" si="19"/>
        <v>0</v>
      </c>
    </row>
    <row r="1120" spans="1:124" ht="38.25" hidden="1" customHeight="1" x14ac:dyDescent="0.3">
      <c r="A1120" s="143" t="s">
        <v>425</v>
      </c>
      <c r="B1120" s="58">
        <v>936</v>
      </c>
      <c r="C1120" s="44" t="s">
        <v>209</v>
      </c>
      <c r="D1120" s="44" t="s">
        <v>117</v>
      </c>
      <c r="E1120" s="44" t="s">
        <v>808</v>
      </c>
      <c r="F1120" s="44" t="s">
        <v>59</v>
      </c>
      <c r="G1120" s="57">
        <v>0</v>
      </c>
      <c r="H1120" s="116"/>
      <c r="I1120" s="117"/>
      <c r="J1120" s="116"/>
      <c r="K1120" s="82"/>
      <c r="L1120" s="79"/>
      <c r="M1120" s="79"/>
      <c r="AG1120" s="79"/>
      <c r="AH1120" s="79"/>
      <c r="DT1120" s="99">
        <f t="shared" si="19"/>
        <v>0</v>
      </c>
    </row>
    <row r="1121" spans="1:124" ht="75.75" customHeight="1" x14ac:dyDescent="0.3">
      <c r="A1121" s="143" t="s">
        <v>809</v>
      </c>
      <c r="B1121" s="58">
        <v>936</v>
      </c>
      <c r="C1121" s="44" t="s">
        <v>209</v>
      </c>
      <c r="D1121" s="44" t="s">
        <v>117</v>
      </c>
      <c r="E1121" s="113" t="s">
        <v>1172</v>
      </c>
      <c r="F1121" s="44" t="s">
        <v>50</v>
      </c>
      <c r="G1121" s="57">
        <f>G1122</f>
        <v>106648.4</v>
      </c>
      <c r="H1121" s="116"/>
      <c r="I1121" s="117"/>
      <c r="J1121" s="116"/>
      <c r="K1121" s="82"/>
      <c r="L1121" s="79"/>
      <c r="M1121" s="79"/>
      <c r="AG1121" s="79"/>
      <c r="AH1121" s="79"/>
      <c r="DT1121" s="99">
        <f t="shared" si="19"/>
        <v>0</v>
      </c>
    </row>
    <row r="1122" spans="1:124" ht="38.25" customHeight="1" x14ac:dyDescent="0.3">
      <c r="A1122" s="143" t="s">
        <v>425</v>
      </c>
      <c r="B1122" s="58">
        <v>936</v>
      </c>
      <c r="C1122" s="44" t="s">
        <v>209</v>
      </c>
      <c r="D1122" s="44" t="s">
        <v>117</v>
      </c>
      <c r="E1122" s="113" t="s">
        <v>1172</v>
      </c>
      <c r="F1122" s="44" t="s">
        <v>59</v>
      </c>
      <c r="G1122" s="57">
        <f>DN1122</f>
        <v>106648.4</v>
      </c>
      <c r="H1122" s="116"/>
      <c r="I1122" s="117"/>
      <c r="J1122" s="116"/>
      <c r="K1122" s="82"/>
      <c r="L1122" s="79"/>
      <c r="M1122" s="79"/>
      <c r="AG1122" s="79"/>
      <c r="AH1122" s="79"/>
      <c r="DN1122" s="274">
        <v>106648.4</v>
      </c>
      <c r="DT1122" s="99">
        <f t="shared" si="19"/>
        <v>106648.4</v>
      </c>
    </row>
    <row r="1123" spans="1:124" ht="38.25" customHeight="1" x14ac:dyDescent="0.3">
      <c r="A1123" s="143" t="s">
        <v>409</v>
      </c>
      <c r="B1123" s="58">
        <v>936</v>
      </c>
      <c r="C1123" s="44" t="s">
        <v>209</v>
      </c>
      <c r="D1123" s="44" t="s">
        <v>117</v>
      </c>
      <c r="E1123" s="44" t="s">
        <v>106</v>
      </c>
      <c r="F1123" s="44" t="s">
        <v>50</v>
      </c>
      <c r="G1123" s="57">
        <f>G1124</f>
        <v>8857.4</v>
      </c>
      <c r="H1123" s="116"/>
      <c r="I1123" s="117"/>
      <c r="J1123" s="116"/>
      <c r="K1123" s="80"/>
      <c r="L1123" s="79"/>
      <c r="M1123" s="79"/>
      <c r="AG1123" s="79"/>
      <c r="AH1123" s="79"/>
      <c r="DT1123" s="99">
        <f t="shared" si="19"/>
        <v>0</v>
      </c>
    </row>
    <row r="1124" spans="1:124" ht="38.25" customHeight="1" x14ac:dyDescent="0.3">
      <c r="A1124" s="163" t="s">
        <v>62</v>
      </c>
      <c r="B1124" s="58">
        <v>936</v>
      </c>
      <c r="C1124" s="44" t="s">
        <v>209</v>
      </c>
      <c r="D1124" s="44" t="s">
        <v>117</v>
      </c>
      <c r="E1124" s="44" t="s">
        <v>356</v>
      </c>
      <c r="F1124" s="44" t="s">
        <v>50</v>
      </c>
      <c r="G1124" s="57">
        <f>G1125+G1135</f>
        <v>8857.4</v>
      </c>
      <c r="H1124" s="116"/>
      <c r="I1124" s="117"/>
      <c r="J1124" s="116"/>
      <c r="K1124" s="80"/>
      <c r="L1124" s="79"/>
      <c r="M1124" s="79"/>
      <c r="AG1124" s="79"/>
      <c r="AH1124" s="79"/>
      <c r="DT1124" s="99">
        <f t="shared" si="19"/>
        <v>0</v>
      </c>
    </row>
    <row r="1125" spans="1:124" ht="38.25" customHeight="1" x14ac:dyDescent="0.3">
      <c r="A1125" s="163" t="s">
        <v>352</v>
      </c>
      <c r="B1125" s="58">
        <v>936</v>
      </c>
      <c r="C1125" s="44" t="s">
        <v>209</v>
      </c>
      <c r="D1125" s="44" t="s">
        <v>117</v>
      </c>
      <c r="E1125" s="44" t="s">
        <v>357</v>
      </c>
      <c r="F1125" s="44" t="s">
        <v>50</v>
      </c>
      <c r="G1125" s="57">
        <f>G1126+G1127</f>
        <v>257.39999999999998</v>
      </c>
      <c r="H1125" s="116"/>
      <c r="I1125" s="117"/>
      <c r="J1125" s="116"/>
      <c r="K1125" s="80"/>
      <c r="L1125" s="79"/>
      <c r="M1125" s="79"/>
      <c r="AG1125" s="79"/>
      <c r="AH1125" s="79"/>
      <c r="DT1125" s="99">
        <f t="shared" si="19"/>
        <v>0</v>
      </c>
    </row>
    <row r="1126" spans="1:124" ht="45" hidden="1" customHeight="1" x14ac:dyDescent="0.3">
      <c r="A1126" s="143" t="s">
        <v>425</v>
      </c>
      <c r="B1126" s="58">
        <v>936</v>
      </c>
      <c r="C1126" s="44" t="s">
        <v>209</v>
      </c>
      <c r="D1126" s="44" t="s">
        <v>117</v>
      </c>
      <c r="E1126" s="44" t="s">
        <v>357</v>
      </c>
      <c r="F1126" s="44" t="s">
        <v>59</v>
      </c>
      <c r="G1126" s="57">
        <f>DT1126</f>
        <v>257.39999999999998</v>
      </c>
      <c r="H1126" s="116">
        <v>3862.3</v>
      </c>
      <c r="I1126" s="117"/>
      <c r="J1126" s="116"/>
      <c r="K1126" s="80"/>
      <c r="L1126" s="79"/>
      <c r="M1126" s="79">
        <v>300</v>
      </c>
      <c r="U1126">
        <v>-74</v>
      </c>
      <c r="AE1126">
        <v>74</v>
      </c>
      <c r="AG1126" s="79"/>
      <c r="AH1126" s="79"/>
      <c r="AK1126" s="79">
        <v>0</v>
      </c>
      <c r="AR1126" s="151">
        <v>-128.166</v>
      </c>
      <c r="AV1126" s="194">
        <v>-22.672999999999998</v>
      </c>
      <c r="AZ1126" s="226">
        <v>-330</v>
      </c>
      <c r="BD1126" s="226">
        <v>-81.400000000000006</v>
      </c>
      <c r="BJ1126" s="194">
        <v>-723.60686999999996</v>
      </c>
      <c r="BL1126" s="194">
        <v>-206.20169000000001</v>
      </c>
      <c r="BN1126" s="237">
        <f>2900+600</f>
        <v>3500</v>
      </c>
      <c r="BU1126" s="151">
        <v>150</v>
      </c>
      <c r="BX1126" s="151">
        <v>2090</v>
      </c>
      <c r="CH1126" s="258">
        <v>600</v>
      </c>
      <c r="CR1126" s="99">
        <v>350</v>
      </c>
      <c r="CU1126" s="258">
        <v>1290</v>
      </c>
      <c r="DE1126" s="194">
        <v>-275</v>
      </c>
      <c r="DH1126" s="194">
        <v>336.7</v>
      </c>
      <c r="DS1126" s="99">
        <v>257.39999999999998</v>
      </c>
      <c r="DT1126" s="99">
        <f t="shared" si="19"/>
        <v>257.39999999999998</v>
      </c>
    </row>
    <row r="1127" spans="1:124" ht="68.25" hidden="1" customHeight="1" x14ac:dyDescent="0.3">
      <c r="A1127" s="143" t="s">
        <v>290</v>
      </c>
      <c r="B1127" s="58">
        <v>936</v>
      </c>
      <c r="C1127" s="44" t="s">
        <v>209</v>
      </c>
      <c r="D1127" s="44" t="s">
        <v>117</v>
      </c>
      <c r="E1127" s="44" t="s">
        <v>357</v>
      </c>
      <c r="F1127" s="44" t="s">
        <v>291</v>
      </c>
      <c r="G1127" s="57">
        <f>U1127+AE1127</f>
        <v>0</v>
      </c>
      <c r="H1127" s="116"/>
      <c r="I1127" s="117"/>
      <c r="J1127" s="116"/>
      <c r="K1127" s="80"/>
      <c r="L1127" s="79"/>
      <c r="M1127" s="79"/>
      <c r="U1127">
        <v>74</v>
      </c>
      <c r="AE1127">
        <v>-74</v>
      </c>
      <c r="AG1127" s="79"/>
      <c r="AH1127" s="79"/>
      <c r="AK1127" s="79">
        <v>0</v>
      </c>
      <c r="DT1127" s="99">
        <f t="shared" si="19"/>
        <v>0</v>
      </c>
    </row>
    <row r="1128" spans="1:124" ht="45" hidden="1" customHeight="1" x14ac:dyDescent="0.3">
      <c r="A1128" s="216" t="s">
        <v>567</v>
      </c>
      <c r="B1128" s="102">
        <v>936</v>
      </c>
      <c r="C1128" s="41" t="s">
        <v>209</v>
      </c>
      <c r="D1128" s="41" t="s">
        <v>209</v>
      </c>
      <c r="E1128" s="41" t="s">
        <v>49</v>
      </c>
      <c r="F1128" s="41" t="s">
        <v>50</v>
      </c>
      <c r="G1128" s="68">
        <f>G1129</f>
        <v>0</v>
      </c>
      <c r="H1128" s="116"/>
      <c r="I1128" s="117"/>
      <c r="J1128" s="116"/>
      <c r="K1128" s="80"/>
      <c r="L1128" s="79"/>
      <c r="M1128" s="79"/>
      <c r="AG1128" s="79"/>
      <c r="AH1128" s="79"/>
      <c r="DT1128" s="99">
        <f t="shared" si="19"/>
        <v>0</v>
      </c>
    </row>
    <row r="1129" spans="1:124" ht="45" hidden="1" customHeight="1" x14ac:dyDescent="0.3">
      <c r="A1129" s="156" t="s">
        <v>161</v>
      </c>
      <c r="B1129" s="31" t="s">
        <v>285</v>
      </c>
      <c r="C1129" s="44" t="s">
        <v>209</v>
      </c>
      <c r="D1129" s="44" t="s">
        <v>209</v>
      </c>
      <c r="E1129" s="15" t="s">
        <v>99</v>
      </c>
      <c r="F1129" s="31" t="s">
        <v>50</v>
      </c>
      <c r="G1129" s="57">
        <f>G1130</f>
        <v>0</v>
      </c>
      <c r="H1129" s="116"/>
      <c r="I1129" s="117"/>
      <c r="J1129" s="116"/>
      <c r="K1129" s="80"/>
      <c r="L1129" s="79"/>
      <c r="M1129" s="79"/>
      <c r="AG1129" s="79"/>
      <c r="AH1129" s="79"/>
      <c r="DT1129" s="99">
        <f t="shared" si="19"/>
        <v>0</v>
      </c>
    </row>
    <row r="1130" spans="1:124" ht="30" hidden="1" customHeight="1" x14ac:dyDescent="0.3">
      <c r="A1130" s="143" t="s">
        <v>409</v>
      </c>
      <c r="B1130" s="13">
        <v>936</v>
      </c>
      <c r="C1130" s="44" t="s">
        <v>209</v>
      </c>
      <c r="D1130" s="44" t="s">
        <v>209</v>
      </c>
      <c r="E1130" s="44" t="s">
        <v>421</v>
      </c>
      <c r="F1130" s="44" t="s">
        <v>50</v>
      </c>
      <c r="G1130" s="57">
        <f>G1133</f>
        <v>0</v>
      </c>
      <c r="H1130" s="116"/>
      <c r="I1130" s="117"/>
      <c r="J1130" s="116"/>
      <c r="K1130" s="80"/>
      <c r="L1130" s="79"/>
      <c r="M1130" s="79"/>
      <c r="AG1130" s="79"/>
      <c r="AH1130" s="79"/>
      <c r="DT1130" s="99">
        <f t="shared" si="19"/>
        <v>0</v>
      </c>
    </row>
    <row r="1131" spans="1:124" ht="50.25" hidden="1" customHeight="1" x14ac:dyDescent="0.3">
      <c r="A1131" s="181" t="s">
        <v>401</v>
      </c>
      <c r="B1131" s="13">
        <v>936</v>
      </c>
      <c r="C1131" s="44" t="s">
        <v>209</v>
      </c>
      <c r="D1131" s="44" t="s">
        <v>209</v>
      </c>
      <c r="E1131" s="44" t="s">
        <v>650</v>
      </c>
      <c r="F1131" s="44" t="s">
        <v>50</v>
      </c>
      <c r="G1131" s="57">
        <f>G1132</f>
        <v>0</v>
      </c>
      <c r="H1131" s="116"/>
      <c r="I1131" s="117"/>
      <c r="J1131" s="116"/>
      <c r="K1131" s="80"/>
      <c r="L1131" s="79"/>
      <c r="M1131" s="79"/>
      <c r="AG1131" s="79"/>
      <c r="AH1131" s="79"/>
      <c r="DT1131" s="99">
        <f t="shared" si="19"/>
        <v>0</v>
      </c>
    </row>
    <row r="1132" spans="1:124" ht="30" hidden="1" customHeight="1" x14ac:dyDescent="0.3">
      <c r="A1132" s="143" t="s">
        <v>651</v>
      </c>
      <c r="B1132" s="13">
        <v>936</v>
      </c>
      <c r="C1132" s="44" t="s">
        <v>209</v>
      </c>
      <c r="D1132" s="44" t="s">
        <v>209</v>
      </c>
      <c r="E1132" s="44" t="s">
        <v>588</v>
      </c>
      <c r="F1132" s="44" t="s">
        <v>50</v>
      </c>
      <c r="G1132" s="57">
        <f>G1133</f>
        <v>0</v>
      </c>
      <c r="H1132" s="116"/>
      <c r="I1132" s="117"/>
      <c r="J1132" s="116"/>
      <c r="K1132" s="80"/>
      <c r="L1132" s="79"/>
      <c r="M1132" s="79"/>
      <c r="AG1132" s="79"/>
      <c r="AH1132" s="79"/>
      <c r="DT1132" s="99">
        <f t="shared" si="19"/>
        <v>0</v>
      </c>
    </row>
    <row r="1133" spans="1:124" ht="45" hidden="1" customHeight="1" x14ac:dyDescent="0.3">
      <c r="A1133" s="185" t="s">
        <v>568</v>
      </c>
      <c r="B1133" s="13">
        <v>936</v>
      </c>
      <c r="C1133" s="44" t="s">
        <v>209</v>
      </c>
      <c r="D1133" s="44" t="s">
        <v>209</v>
      </c>
      <c r="E1133" s="44" t="s">
        <v>588</v>
      </c>
      <c r="F1133" s="44" t="s">
        <v>50</v>
      </c>
      <c r="G1133" s="57">
        <f>G1134</f>
        <v>0</v>
      </c>
      <c r="H1133" s="116"/>
      <c r="I1133" s="117"/>
      <c r="J1133" s="116"/>
      <c r="K1133" s="80"/>
      <c r="L1133" s="79"/>
      <c r="M1133" s="79"/>
      <c r="AG1133" s="79"/>
      <c r="AH1133" s="79"/>
      <c r="DT1133" s="99">
        <f t="shared" si="19"/>
        <v>0</v>
      </c>
    </row>
    <row r="1134" spans="1:124" ht="45" hidden="1" customHeight="1" x14ac:dyDescent="0.3">
      <c r="A1134" s="143" t="s">
        <v>425</v>
      </c>
      <c r="B1134" s="13">
        <v>936</v>
      </c>
      <c r="C1134" s="44" t="s">
        <v>209</v>
      </c>
      <c r="D1134" s="44" t="s">
        <v>209</v>
      </c>
      <c r="E1134" s="44" t="s">
        <v>588</v>
      </c>
      <c r="F1134" s="44" t="s">
        <v>59</v>
      </c>
      <c r="G1134" s="72">
        <f>K1134+M1134-1738.9+Z1134+AG1134</f>
        <v>0</v>
      </c>
      <c r="H1134" s="116"/>
      <c r="I1134" s="117"/>
      <c r="J1134" s="116"/>
      <c r="K1134" s="80">
        <v>9999</v>
      </c>
      <c r="L1134" s="79"/>
      <c r="M1134" s="79">
        <v>101</v>
      </c>
      <c r="Z1134">
        <v>-101</v>
      </c>
      <c r="AG1134" s="79">
        <v>-8260.1</v>
      </c>
      <c r="AH1134" s="79"/>
      <c r="AK1134" s="79">
        <v>0</v>
      </c>
      <c r="DT1134" s="99">
        <f t="shared" si="19"/>
        <v>0</v>
      </c>
    </row>
    <row r="1135" spans="1:124" ht="33" customHeight="1" x14ac:dyDescent="0.3">
      <c r="A1135" s="143" t="s">
        <v>64</v>
      </c>
      <c r="B1135" s="58">
        <v>936</v>
      </c>
      <c r="C1135" s="44" t="s">
        <v>209</v>
      </c>
      <c r="D1135" s="44" t="s">
        <v>117</v>
      </c>
      <c r="E1135" s="44" t="s">
        <v>729</v>
      </c>
      <c r="F1135" s="44" t="s">
        <v>50</v>
      </c>
      <c r="G1135" s="72">
        <f>G1136</f>
        <v>8600</v>
      </c>
      <c r="H1135" s="116"/>
      <c r="I1135" s="117"/>
      <c r="J1135" s="116"/>
      <c r="K1135" s="80"/>
      <c r="L1135" s="79"/>
      <c r="M1135" s="79"/>
      <c r="AG1135" s="79"/>
      <c r="AH1135" s="79"/>
      <c r="DT1135" s="99">
        <f t="shared" si="19"/>
        <v>0</v>
      </c>
    </row>
    <row r="1136" spans="1:124" ht="45" customHeight="1" x14ac:dyDescent="0.3">
      <c r="A1136" s="143" t="s">
        <v>425</v>
      </c>
      <c r="B1136" s="58">
        <v>936</v>
      </c>
      <c r="C1136" s="44" t="s">
        <v>209</v>
      </c>
      <c r="D1136" s="44" t="s">
        <v>117</v>
      </c>
      <c r="E1136" s="44" t="s">
        <v>729</v>
      </c>
      <c r="F1136" s="44" t="s">
        <v>59</v>
      </c>
      <c r="G1136" s="72">
        <v>8600</v>
      </c>
      <c r="H1136" s="116"/>
      <c r="I1136" s="117"/>
      <c r="J1136" s="116"/>
      <c r="K1136" s="80"/>
      <c r="L1136" s="79"/>
      <c r="M1136" s="79"/>
      <c r="AG1136" s="79"/>
      <c r="AH1136" s="79"/>
      <c r="AQ1136" s="151">
        <v>397.76100000000002</v>
      </c>
      <c r="BM1136" s="100">
        <v>1977.3420000000001</v>
      </c>
      <c r="DE1136" s="194">
        <v>-107.74344000000001</v>
      </c>
      <c r="DT1136" s="99">
        <f t="shared" si="19"/>
        <v>0</v>
      </c>
    </row>
    <row r="1137" spans="1:124" ht="27.75" customHeight="1" x14ac:dyDescent="0.3">
      <c r="A1137" s="155" t="s">
        <v>293</v>
      </c>
      <c r="B1137" s="84">
        <v>936</v>
      </c>
      <c r="C1137" s="9" t="s">
        <v>119</v>
      </c>
      <c r="D1137" s="9" t="s">
        <v>112</v>
      </c>
      <c r="E1137" s="12" t="s">
        <v>49</v>
      </c>
      <c r="F1137" s="9" t="s">
        <v>50</v>
      </c>
      <c r="G1137" s="68">
        <f>G1138+G1144</f>
        <v>205</v>
      </c>
      <c r="H1137" s="116"/>
      <c r="I1137" s="117"/>
      <c r="J1137" s="116"/>
      <c r="K1137" s="80"/>
      <c r="L1137" s="79"/>
      <c r="M1137" s="79"/>
      <c r="AG1137" s="79"/>
      <c r="AH1137" s="79"/>
      <c r="DT1137" s="99">
        <f t="shared" si="19"/>
        <v>0</v>
      </c>
    </row>
    <row r="1138" spans="1:124" ht="38.25" customHeight="1" x14ac:dyDescent="0.3">
      <c r="A1138" s="155" t="s">
        <v>294</v>
      </c>
      <c r="B1138" s="83" t="s">
        <v>285</v>
      </c>
      <c r="C1138" s="9" t="s">
        <v>119</v>
      </c>
      <c r="D1138" s="9" t="s">
        <v>117</v>
      </c>
      <c r="E1138" s="12" t="s">
        <v>49</v>
      </c>
      <c r="F1138" s="9" t="s">
        <v>50</v>
      </c>
      <c r="G1138" s="68">
        <f>G1139</f>
        <v>205</v>
      </c>
      <c r="H1138" s="116"/>
      <c r="I1138" s="117"/>
      <c r="J1138" s="116"/>
      <c r="K1138" s="80"/>
      <c r="L1138" s="79"/>
      <c r="M1138" s="79"/>
      <c r="AG1138" s="79"/>
      <c r="AH1138" s="79"/>
      <c r="DT1138" s="99">
        <f t="shared" si="19"/>
        <v>0</v>
      </c>
    </row>
    <row r="1139" spans="1:124" ht="58.5" customHeight="1" x14ac:dyDescent="0.3">
      <c r="A1139" s="156" t="s">
        <v>160</v>
      </c>
      <c r="B1139" s="85" t="s">
        <v>285</v>
      </c>
      <c r="C1139" s="14" t="s">
        <v>119</v>
      </c>
      <c r="D1139" s="14" t="s">
        <v>117</v>
      </c>
      <c r="E1139" s="15" t="s">
        <v>95</v>
      </c>
      <c r="F1139" s="14" t="s">
        <v>50</v>
      </c>
      <c r="G1139" s="57">
        <f>G1140</f>
        <v>205</v>
      </c>
      <c r="H1139" s="116"/>
      <c r="I1139" s="117"/>
      <c r="J1139" s="116"/>
      <c r="K1139" s="80"/>
      <c r="L1139" s="79"/>
      <c r="M1139" s="79"/>
      <c r="AG1139" s="79"/>
      <c r="AH1139" s="79"/>
      <c r="DT1139" s="99">
        <f t="shared" si="19"/>
        <v>0</v>
      </c>
    </row>
    <row r="1140" spans="1:124" ht="75" x14ac:dyDescent="0.3">
      <c r="A1140" s="175" t="s">
        <v>6</v>
      </c>
      <c r="B1140" s="14" t="s">
        <v>285</v>
      </c>
      <c r="C1140" s="14" t="s">
        <v>119</v>
      </c>
      <c r="D1140" s="14" t="s">
        <v>117</v>
      </c>
      <c r="E1140" s="15" t="s">
        <v>98</v>
      </c>
      <c r="F1140" s="14" t="s">
        <v>50</v>
      </c>
      <c r="G1140" s="57">
        <f>G1141</f>
        <v>205</v>
      </c>
      <c r="H1140" s="116"/>
      <c r="I1140" s="117"/>
      <c r="J1140" s="116"/>
      <c r="K1140" s="80"/>
      <c r="L1140" s="79"/>
      <c r="M1140" s="79"/>
      <c r="AG1140" s="79"/>
      <c r="AH1140" s="79"/>
      <c r="DT1140" s="99">
        <f t="shared" si="19"/>
        <v>0</v>
      </c>
    </row>
    <row r="1141" spans="1:124" ht="27" customHeight="1" x14ac:dyDescent="0.3">
      <c r="A1141" s="143" t="s">
        <v>62</v>
      </c>
      <c r="B1141" s="14" t="s">
        <v>285</v>
      </c>
      <c r="C1141" s="14" t="s">
        <v>119</v>
      </c>
      <c r="D1141" s="14" t="s">
        <v>117</v>
      </c>
      <c r="E1141" s="14" t="s">
        <v>298</v>
      </c>
      <c r="F1141" s="14" t="s">
        <v>50</v>
      </c>
      <c r="G1141" s="57">
        <f>G1142</f>
        <v>205</v>
      </c>
      <c r="H1141" s="116"/>
      <c r="I1141" s="117"/>
      <c r="J1141" s="116"/>
      <c r="K1141" s="80"/>
      <c r="L1141" s="79"/>
      <c r="M1141" s="79"/>
      <c r="AG1141" s="79"/>
      <c r="AH1141" s="79"/>
      <c r="DT1141" s="99">
        <f t="shared" si="19"/>
        <v>0</v>
      </c>
    </row>
    <row r="1142" spans="1:124" ht="51" customHeight="1" x14ac:dyDescent="0.3">
      <c r="A1142" s="143" t="s">
        <v>297</v>
      </c>
      <c r="B1142" s="14" t="s">
        <v>285</v>
      </c>
      <c r="C1142" s="14" t="s">
        <v>119</v>
      </c>
      <c r="D1142" s="14" t="s">
        <v>117</v>
      </c>
      <c r="E1142" s="14" t="s">
        <v>299</v>
      </c>
      <c r="F1142" s="14" t="s">
        <v>50</v>
      </c>
      <c r="G1142" s="57">
        <f>G1143+G1153</f>
        <v>205</v>
      </c>
      <c r="H1142" s="116"/>
      <c r="I1142" s="117"/>
      <c r="J1142" s="116"/>
      <c r="K1142" s="80"/>
      <c r="L1142" s="79"/>
      <c r="M1142" s="79"/>
      <c r="AG1142" s="79"/>
      <c r="AH1142" s="79"/>
      <c r="DT1142" s="99">
        <f t="shared" si="19"/>
        <v>0</v>
      </c>
    </row>
    <row r="1143" spans="1:124" ht="37.5" x14ac:dyDescent="0.3">
      <c r="A1143" s="143" t="s">
        <v>425</v>
      </c>
      <c r="B1143" s="14" t="s">
        <v>285</v>
      </c>
      <c r="C1143" s="14" t="s">
        <v>119</v>
      </c>
      <c r="D1143" s="14" t="s">
        <v>117</v>
      </c>
      <c r="E1143" s="14" t="s">
        <v>299</v>
      </c>
      <c r="F1143" s="14" t="s">
        <v>59</v>
      </c>
      <c r="G1143" s="72">
        <f>DT1143</f>
        <v>205</v>
      </c>
      <c r="H1143" s="116">
        <f>205</f>
        <v>205</v>
      </c>
      <c r="I1143" s="117"/>
      <c r="J1143" s="116"/>
      <c r="K1143" s="80"/>
      <c r="L1143" s="79"/>
      <c r="M1143" s="79"/>
      <c r="T1143">
        <v>98</v>
      </c>
      <c r="Z1143">
        <v>-147</v>
      </c>
      <c r="AD1143">
        <v>0.8</v>
      </c>
      <c r="AG1143" s="79"/>
      <c r="AH1143" s="79"/>
      <c r="AK1143" s="79">
        <v>205</v>
      </c>
      <c r="BE1143" s="226">
        <v>-113</v>
      </c>
      <c r="BJ1143" s="194">
        <v>208</v>
      </c>
      <c r="BN1143" s="237">
        <f>300+205</f>
        <v>505</v>
      </c>
      <c r="CR1143" s="99">
        <f>205+300</f>
        <v>505</v>
      </c>
      <c r="CY1143" s="194">
        <v>-20.712959999999999</v>
      </c>
      <c r="DS1143" s="99">
        <v>205</v>
      </c>
      <c r="DT1143" s="99">
        <f t="shared" si="19"/>
        <v>205</v>
      </c>
    </row>
    <row r="1144" spans="1:124" ht="47.25" hidden="1" customHeight="1" x14ac:dyDescent="0.3">
      <c r="A1144" s="155" t="s">
        <v>295</v>
      </c>
      <c r="B1144" s="9" t="s">
        <v>285</v>
      </c>
      <c r="C1144" s="9" t="s">
        <v>119</v>
      </c>
      <c r="D1144" s="9" t="s">
        <v>209</v>
      </c>
      <c r="E1144" s="12" t="s">
        <v>49</v>
      </c>
      <c r="F1144" s="9" t="s">
        <v>50</v>
      </c>
      <c r="G1144" s="68">
        <f>G1145</f>
        <v>0</v>
      </c>
      <c r="H1144" s="116"/>
      <c r="I1144" s="117"/>
      <c r="J1144" s="116"/>
      <c r="K1144" s="80"/>
      <c r="L1144" s="79"/>
      <c r="M1144" s="79"/>
      <c r="AG1144" s="79"/>
      <c r="AH1144" s="79"/>
      <c r="DT1144" s="99">
        <f t="shared" si="19"/>
        <v>0</v>
      </c>
    </row>
    <row r="1145" spans="1:124" ht="64.5" hidden="1" customHeight="1" x14ac:dyDescent="0.3">
      <c r="A1145" s="156" t="s">
        <v>160</v>
      </c>
      <c r="B1145" s="85" t="s">
        <v>285</v>
      </c>
      <c r="C1145" s="14" t="s">
        <v>119</v>
      </c>
      <c r="D1145" s="14" t="s">
        <v>209</v>
      </c>
      <c r="E1145" s="15" t="s">
        <v>95</v>
      </c>
      <c r="F1145" s="14" t="s">
        <v>50</v>
      </c>
      <c r="G1145" s="57">
        <f>G1146</f>
        <v>0</v>
      </c>
      <c r="H1145" s="116"/>
      <c r="I1145" s="117"/>
      <c r="J1145" s="116"/>
      <c r="K1145" s="80"/>
      <c r="L1145" s="79"/>
      <c r="M1145" s="79"/>
      <c r="AG1145" s="79"/>
      <c r="AH1145" s="79"/>
      <c r="DT1145" s="99">
        <f t="shared" si="19"/>
        <v>0</v>
      </c>
    </row>
    <row r="1146" spans="1:124" ht="87" hidden="1" customHeight="1" x14ac:dyDescent="0.3">
      <c r="A1146" s="175" t="s">
        <v>6</v>
      </c>
      <c r="B1146" s="14" t="s">
        <v>285</v>
      </c>
      <c r="C1146" s="14" t="s">
        <v>119</v>
      </c>
      <c r="D1146" s="14" t="s">
        <v>209</v>
      </c>
      <c r="E1146" s="15" t="s">
        <v>98</v>
      </c>
      <c r="F1146" s="14" t="s">
        <v>50</v>
      </c>
      <c r="G1146" s="57">
        <f>G1147</f>
        <v>0</v>
      </c>
      <c r="H1146" s="116"/>
      <c r="I1146" s="117"/>
      <c r="J1146" s="116"/>
      <c r="K1146" s="80"/>
      <c r="L1146" s="79"/>
      <c r="M1146" s="79"/>
      <c r="AG1146" s="79"/>
      <c r="AH1146" s="79"/>
      <c r="DT1146" s="99">
        <f t="shared" si="19"/>
        <v>0</v>
      </c>
    </row>
    <row r="1147" spans="1:124" ht="50.25" hidden="1" customHeight="1" x14ac:dyDescent="0.3">
      <c r="A1147" s="143" t="s">
        <v>297</v>
      </c>
      <c r="B1147" s="14" t="s">
        <v>285</v>
      </c>
      <c r="C1147" s="14" t="s">
        <v>119</v>
      </c>
      <c r="D1147" s="14" t="s">
        <v>209</v>
      </c>
      <c r="E1147" s="14" t="s">
        <v>299</v>
      </c>
      <c r="F1147" s="14" t="s">
        <v>50</v>
      </c>
      <c r="G1147" s="57">
        <f>G1148</f>
        <v>0</v>
      </c>
      <c r="H1147" s="116"/>
      <c r="I1147" s="117"/>
      <c r="J1147" s="116"/>
      <c r="K1147" s="80"/>
      <c r="L1147" s="79"/>
      <c r="M1147" s="79"/>
      <c r="AG1147" s="79"/>
      <c r="AH1147" s="79"/>
      <c r="DT1147" s="99">
        <f t="shared" si="19"/>
        <v>0</v>
      </c>
    </row>
    <row r="1148" spans="1:124" ht="48.75" hidden="1" customHeight="1" x14ac:dyDescent="0.3">
      <c r="A1148" s="143" t="s">
        <v>425</v>
      </c>
      <c r="B1148" s="14" t="s">
        <v>285</v>
      </c>
      <c r="C1148" s="14" t="s">
        <v>119</v>
      </c>
      <c r="D1148" s="14" t="s">
        <v>209</v>
      </c>
      <c r="E1148" s="14" t="s">
        <v>299</v>
      </c>
      <c r="F1148" s="14" t="s">
        <v>59</v>
      </c>
      <c r="G1148" s="57">
        <f>H1148+AX1148+BE1148</f>
        <v>0</v>
      </c>
      <c r="H1148" s="116">
        <v>300</v>
      </c>
      <c r="I1148" s="117"/>
      <c r="J1148" s="116"/>
      <c r="K1148" s="80"/>
      <c r="L1148" s="79"/>
      <c r="M1148" s="79"/>
      <c r="AG1148" s="79"/>
      <c r="AH1148" s="79"/>
      <c r="AX1148" s="101">
        <v>-100</v>
      </c>
      <c r="BE1148" s="226">
        <v>-200</v>
      </c>
      <c r="DT1148" s="99">
        <f t="shared" si="19"/>
        <v>0</v>
      </c>
    </row>
    <row r="1149" spans="1:124" ht="47.25" hidden="1" customHeight="1" x14ac:dyDescent="0.3">
      <c r="A1149" s="143" t="s">
        <v>393</v>
      </c>
      <c r="B1149" s="14" t="s">
        <v>285</v>
      </c>
      <c r="C1149" s="14" t="s">
        <v>119</v>
      </c>
      <c r="D1149" s="14" t="s">
        <v>209</v>
      </c>
      <c r="E1149" s="13" t="s">
        <v>395</v>
      </c>
      <c r="F1149" s="14" t="s">
        <v>50</v>
      </c>
      <c r="G1149" s="57">
        <f>G1150</f>
        <v>0</v>
      </c>
      <c r="H1149" s="116"/>
      <c r="I1149" s="117"/>
      <c r="J1149" s="116"/>
      <c r="K1149" s="80"/>
      <c r="L1149" s="79"/>
      <c r="M1149" s="79"/>
      <c r="AG1149" s="79"/>
      <c r="AH1149" s="79"/>
      <c r="DT1149" s="99">
        <f t="shared" si="19"/>
        <v>0</v>
      </c>
    </row>
    <row r="1150" spans="1:124" ht="27.75" hidden="1" customHeight="1" x14ac:dyDescent="0.3">
      <c r="A1150" s="217" t="s">
        <v>394</v>
      </c>
      <c r="B1150" s="14" t="s">
        <v>285</v>
      </c>
      <c r="C1150" s="14" t="s">
        <v>119</v>
      </c>
      <c r="D1150" s="14" t="s">
        <v>209</v>
      </c>
      <c r="E1150" s="13" t="s">
        <v>620</v>
      </c>
      <c r="F1150" s="14" t="s">
        <v>50</v>
      </c>
      <c r="G1150" s="57">
        <f>G1151</f>
        <v>0</v>
      </c>
      <c r="H1150" s="116"/>
      <c r="I1150" s="117"/>
      <c r="J1150" s="116"/>
      <c r="K1150" s="80"/>
      <c r="L1150" s="79"/>
      <c r="M1150" s="79"/>
      <c r="AG1150" s="79"/>
      <c r="AH1150" s="79"/>
      <c r="DT1150" s="99">
        <f t="shared" si="19"/>
        <v>0</v>
      </c>
    </row>
    <row r="1151" spans="1:124" ht="70.5" hidden="1" customHeight="1" x14ac:dyDescent="0.3">
      <c r="A1151" s="178" t="s">
        <v>618</v>
      </c>
      <c r="B1151" s="14" t="s">
        <v>285</v>
      </c>
      <c r="C1151" s="14" t="s">
        <v>119</v>
      </c>
      <c r="D1151" s="14" t="s">
        <v>209</v>
      </c>
      <c r="E1151" s="13" t="s">
        <v>619</v>
      </c>
      <c r="F1151" s="14" t="s">
        <v>50</v>
      </c>
      <c r="G1151" s="33">
        <f>G1152</f>
        <v>0</v>
      </c>
      <c r="H1151" s="133"/>
      <c r="I1151" s="134"/>
      <c r="J1151" s="133"/>
      <c r="K1151" s="80"/>
      <c r="L1151" s="79"/>
      <c r="M1151" s="79"/>
      <c r="AG1151" s="79"/>
      <c r="AH1151" s="79"/>
      <c r="DT1151" s="99">
        <f t="shared" si="19"/>
        <v>0</v>
      </c>
    </row>
    <row r="1152" spans="1:124" ht="37.5" hidden="1" x14ac:dyDescent="0.3">
      <c r="A1152" s="143" t="s">
        <v>425</v>
      </c>
      <c r="B1152" s="14" t="s">
        <v>285</v>
      </c>
      <c r="C1152" s="14" t="s">
        <v>119</v>
      </c>
      <c r="D1152" s="14" t="s">
        <v>209</v>
      </c>
      <c r="E1152" s="13" t="s">
        <v>619</v>
      </c>
      <c r="F1152" s="14" t="s">
        <v>59</v>
      </c>
      <c r="G1152" s="33">
        <v>0</v>
      </c>
      <c r="H1152" s="133"/>
      <c r="I1152" s="134"/>
      <c r="J1152" s="133"/>
      <c r="K1152" s="80"/>
      <c r="L1152" s="79"/>
      <c r="M1152" s="79"/>
      <c r="AD1152">
        <v>-0.8</v>
      </c>
      <c r="AG1152" s="79"/>
      <c r="AH1152" s="79"/>
      <c r="AK1152" s="79">
        <v>111801.60000000001</v>
      </c>
      <c r="DT1152" s="99">
        <f t="shared" si="19"/>
        <v>0</v>
      </c>
    </row>
    <row r="1153" spans="1:124" hidden="1" x14ac:dyDescent="0.3">
      <c r="A1153" s="163" t="s">
        <v>60</v>
      </c>
      <c r="B1153" s="14" t="s">
        <v>285</v>
      </c>
      <c r="C1153" s="14" t="s">
        <v>119</v>
      </c>
      <c r="D1153" s="14" t="s">
        <v>117</v>
      </c>
      <c r="E1153" s="14" t="s">
        <v>299</v>
      </c>
      <c r="F1153" s="14" t="s">
        <v>61</v>
      </c>
      <c r="G1153" s="33">
        <v>0</v>
      </c>
      <c r="H1153" s="133"/>
      <c r="I1153" s="134"/>
      <c r="J1153" s="133"/>
      <c r="K1153" s="80"/>
      <c r="L1153" s="79"/>
      <c r="M1153" s="79"/>
      <c r="AG1153" s="79"/>
      <c r="AH1153" s="79"/>
      <c r="CY1153" s="194">
        <v>20.712959999999999</v>
      </c>
      <c r="DT1153" s="99">
        <f t="shared" si="19"/>
        <v>0</v>
      </c>
    </row>
    <row r="1154" spans="1:124" x14ac:dyDescent="0.3">
      <c r="A1154" s="155" t="s">
        <v>122</v>
      </c>
      <c r="B1154" s="9" t="s">
        <v>285</v>
      </c>
      <c r="C1154" s="9" t="s">
        <v>123</v>
      </c>
      <c r="D1154" s="9" t="s">
        <v>112</v>
      </c>
      <c r="E1154" s="12" t="s">
        <v>49</v>
      </c>
      <c r="F1154" s="9" t="s">
        <v>50</v>
      </c>
      <c r="G1154" s="68">
        <f>G1164+G1181+G1217+G1246</f>
        <v>24280.92</v>
      </c>
      <c r="H1154" s="116"/>
      <c r="I1154" s="117"/>
      <c r="J1154" s="116"/>
      <c r="K1154" s="80"/>
      <c r="L1154" s="79"/>
      <c r="M1154" s="79"/>
      <c r="AG1154" s="79"/>
      <c r="AH1154" s="79"/>
      <c r="DT1154" s="99">
        <f t="shared" si="19"/>
        <v>0</v>
      </c>
    </row>
    <row r="1155" spans="1:124" ht="60.75" hidden="1" customHeight="1" x14ac:dyDescent="0.3">
      <c r="A1155" s="156" t="s">
        <v>160</v>
      </c>
      <c r="B1155" s="14" t="s">
        <v>285</v>
      </c>
      <c r="C1155" s="14" t="s">
        <v>119</v>
      </c>
      <c r="D1155" s="14" t="s">
        <v>209</v>
      </c>
      <c r="E1155" s="15" t="s">
        <v>95</v>
      </c>
      <c r="F1155" s="14" t="s">
        <v>50</v>
      </c>
      <c r="G1155" s="57">
        <f>G1156</f>
        <v>0</v>
      </c>
      <c r="H1155" s="116"/>
      <c r="I1155" s="117"/>
      <c r="J1155" s="116"/>
      <c r="K1155" s="80"/>
      <c r="L1155" s="79"/>
      <c r="M1155" s="79"/>
      <c r="AG1155" s="79"/>
      <c r="AH1155" s="79"/>
      <c r="DT1155" s="99">
        <f t="shared" si="19"/>
        <v>0</v>
      </c>
    </row>
    <row r="1156" spans="1:124" ht="75" hidden="1" x14ac:dyDescent="0.3">
      <c r="A1156" s="175" t="s">
        <v>6</v>
      </c>
      <c r="B1156" s="14" t="s">
        <v>285</v>
      </c>
      <c r="C1156" s="14" t="s">
        <v>119</v>
      </c>
      <c r="D1156" s="14" t="s">
        <v>209</v>
      </c>
      <c r="E1156" s="15" t="s">
        <v>98</v>
      </c>
      <c r="F1156" s="14" t="s">
        <v>50</v>
      </c>
      <c r="G1156" s="57">
        <f>G1162+G1164+G1157</f>
        <v>0</v>
      </c>
      <c r="H1156" s="116"/>
      <c r="I1156" s="117"/>
      <c r="J1156" s="116"/>
      <c r="K1156" s="80"/>
      <c r="L1156" s="79"/>
      <c r="M1156" s="79"/>
      <c r="AG1156" s="79"/>
      <c r="AH1156" s="79"/>
      <c r="DT1156" s="99">
        <f t="shared" si="19"/>
        <v>0</v>
      </c>
    </row>
    <row r="1157" spans="1:124" hidden="1" x14ac:dyDescent="0.3">
      <c r="A1157" s="143" t="s">
        <v>62</v>
      </c>
      <c r="B1157" s="14" t="s">
        <v>285</v>
      </c>
      <c r="C1157" s="14" t="s">
        <v>119</v>
      </c>
      <c r="D1157" s="14" t="s">
        <v>209</v>
      </c>
      <c r="E1157" s="14" t="s">
        <v>298</v>
      </c>
      <c r="F1157" s="14" t="s">
        <v>50</v>
      </c>
      <c r="G1157" s="57">
        <f>G1158</f>
        <v>0</v>
      </c>
      <c r="H1157" s="116"/>
      <c r="I1157" s="117"/>
      <c r="J1157" s="116"/>
      <c r="K1157" s="80"/>
      <c r="L1157" s="79"/>
      <c r="M1157" s="79"/>
      <c r="AG1157" s="79"/>
      <c r="AH1157" s="79"/>
      <c r="DT1157" s="99">
        <f t="shared" si="19"/>
        <v>0</v>
      </c>
    </row>
    <row r="1158" spans="1:124" ht="37.5" hidden="1" x14ac:dyDescent="0.3">
      <c r="A1158" s="143" t="s">
        <v>297</v>
      </c>
      <c r="B1158" s="14" t="s">
        <v>285</v>
      </c>
      <c r="C1158" s="14" t="s">
        <v>119</v>
      </c>
      <c r="D1158" s="14" t="s">
        <v>209</v>
      </c>
      <c r="E1158" s="14" t="s">
        <v>299</v>
      </c>
      <c r="F1158" s="14" t="s">
        <v>50</v>
      </c>
      <c r="G1158" s="57">
        <f>G1159</f>
        <v>0</v>
      </c>
      <c r="H1158" s="116"/>
      <c r="I1158" s="117"/>
      <c r="J1158" s="116"/>
      <c r="K1158" s="80"/>
      <c r="L1158" s="79"/>
      <c r="M1158" s="79"/>
      <c r="AG1158" s="79"/>
      <c r="AH1158" s="79"/>
      <c r="DT1158" s="99">
        <f t="shared" si="19"/>
        <v>0</v>
      </c>
    </row>
    <row r="1159" spans="1:124" ht="37.5" hidden="1" x14ac:dyDescent="0.3">
      <c r="A1159" s="143" t="s">
        <v>425</v>
      </c>
      <c r="B1159" s="14" t="s">
        <v>285</v>
      </c>
      <c r="C1159" s="14" t="s">
        <v>119</v>
      </c>
      <c r="D1159" s="14" t="s">
        <v>209</v>
      </c>
      <c r="E1159" s="14" t="s">
        <v>299</v>
      </c>
      <c r="F1159" s="14" t="s">
        <v>59</v>
      </c>
      <c r="G1159" s="57">
        <v>0</v>
      </c>
      <c r="H1159" s="116"/>
      <c r="I1159" s="117"/>
      <c r="J1159" s="116"/>
      <c r="K1159" s="80"/>
      <c r="L1159" s="79"/>
      <c r="M1159" s="79"/>
      <c r="AG1159" s="79"/>
      <c r="AH1159" s="79"/>
      <c r="DT1159" s="99">
        <f t="shared" si="19"/>
        <v>0</v>
      </c>
    </row>
    <row r="1160" spans="1:124" ht="37.5" hidden="1" x14ac:dyDescent="0.3">
      <c r="A1160" s="143" t="s">
        <v>393</v>
      </c>
      <c r="B1160" s="14" t="s">
        <v>285</v>
      </c>
      <c r="C1160" s="14" t="s">
        <v>119</v>
      </c>
      <c r="D1160" s="14" t="s">
        <v>209</v>
      </c>
      <c r="E1160" s="14" t="s">
        <v>395</v>
      </c>
      <c r="F1160" s="14" t="s">
        <v>50</v>
      </c>
      <c r="G1160" s="57">
        <f>G1161</f>
        <v>0</v>
      </c>
      <c r="H1160" s="116"/>
      <c r="I1160" s="117"/>
      <c r="J1160" s="116"/>
      <c r="K1160" s="80"/>
      <c r="L1160" s="79"/>
      <c r="M1160" s="79"/>
      <c r="AG1160" s="79"/>
      <c r="AH1160" s="79"/>
      <c r="DT1160" s="99">
        <f t="shared" si="19"/>
        <v>0</v>
      </c>
    </row>
    <row r="1161" spans="1:124" hidden="1" x14ac:dyDescent="0.3">
      <c r="A1161" s="143" t="s">
        <v>394</v>
      </c>
      <c r="B1161" s="14" t="s">
        <v>285</v>
      </c>
      <c r="C1161" s="14" t="s">
        <v>119</v>
      </c>
      <c r="D1161" s="14" t="s">
        <v>209</v>
      </c>
      <c r="E1161" s="14" t="s">
        <v>396</v>
      </c>
      <c r="F1161" s="14" t="s">
        <v>50</v>
      </c>
      <c r="G1161" s="57">
        <f>G1162</f>
        <v>0</v>
      </c>
      <c r="H1161" s="116"/>
      <c r="I1161" s="117"/>
      <c r="J1161" s="116"/>
      <c r="K1161" s="80"/>
      <c r="L1161" s="79"/>
      <c r="M1161" s="79"/>
      <c r="AG1161" s="79"/>
      <c r="AH1161" s="79"/>
      <c r="DT1161" s="99">
        <f t="shared" si="19"/>
        <v>0</v>
      </c>
    </row>
    <row r="1162" spans="1:124" ht="75" hidden="1" x14ac:dyDescent="0.3">
      <c r="A1162" s="143" t="s">
        <v>296</v>
      </c>
      <c r="B1162" s="14" t="s">
        <v>285</v>
      </c>
      <c r="C1162" s="14" t="s">
        <v>119</v>
      </c>
      <c r="D1162" s="14" t="s">
        <v>209</v>
      </c>
      <c r="E1162" s="14" t="s">
        <v>396</v>
      </c>
      <c r="F1162" s="14" t="s">
        <v>50</v>
      </c>
      <c r="G1162" s="33">
        <f>G1163</f>
        <v>0</v>
      </c>
      <c r="H1162" s="133"/>
      <c r="I1162" s="134"/>
      <c r="J1162" s="133"/>
      <c r="K1162" s="80"/>
      <c r="L1162" s="79"/>
      <c r="M1162" s="79"/>
      <c r="AG1162" s="79"/>
      <c r="AH1162" s="79"/>
      <c r="DT1162" s="99">
        <f t="shared" si="19"/>
        <v>0</v>
      </c>
    </row>
    <row r="1163" spans="1:124" ht="37.5" hidden="1" x14ac:dyDescent="0.3">
      <c r="A1163" s="143" t="s">
        <v>425</v>
      </c>
      <c r="B1163" s="14" t="s">
        <v>285</v>
      </c>
      <c r="C1163" s="14" t="s">
        <v>119</v>
      </c>
      <c r="D1163" s="14" t="s">
        <v>209</v>
      </c>
      <c r="E1163" s="14" t="s">
        <v>396</v>
      </c>
      <c r="F1163" s="14" t="s">
        <v>59</v>
      </c>
      <c r="G1163" s="33">
        <v>0</v>
      </c>
      <c r="H1163" s="133"/>
      <c r="I1163" s="134"/>
      <c r="J1163" s="133"/>
      <c r="K1163" s="80"/>
      <c r="L1163" s="79"/>
      <c r="M1163" s="79"/>
      <c r="AG1163" s="79"/>
      <c r="AH1163" s="79"/>
      <c r="DT1163" s="99">
        <f t="shared" si="19"/>
        <v>0</v>
      </c>
    </row>
    <row r="1164" spans="1:124" ht="29.25" hidden="1" customHeight="1" x14ac:dyDescent="0.3">
      <c r="A1164" s="155" t="s">
        <v>125</v>
      </c>
      <c r="B1164" s="12">
        <v>936</v>
      </c>
      <c r="C1164" s="9" t="s">
        <v>123</v>
      </c>
      <c r="D1164" s="19" t="s">
        <v>116</v>
      </c>
      <c r="E1164" s="12" t="s">
        <v>49</v>
      </c>
      <c r="F1164" s="9" t="s">
        <v>50</v>
      </c>
      <c r="G1164" s="68">
        <f>G1165</f>
        <v>0</v>
      </c>
      <c r="H1164" s="116"/>
      <c r="I1164" s="117"/>
      <c r="J1164" s="116"/>
      <c r="K1164" s="80"/>
      <c r="L1164" s="79"/>
      <c r="M1164" s="79"/>
      <c r="AG1164" s="79"/>
      <c r="AH1164" s="79"/>
      <c r="DT1164" s="99">
        <f t="shared" si="19"/>
        <v>0</v>
      </c>
    </row>
    <row r="1165" spans="1:124" ht="49.5" hidden="1" customHeight="1" x14ac:dyDescent="0.3">
      <c r="A1165" s="143" t="s">
        <v>38</v>
      </c>
      <c r="B1165" s="13">
        <v>936</v>
      </c>
      <c r="C1165" s="14" t="s">
        <v>123</v>
      </c>
      <c r="D1165" s="6" t="s">
        <v>116</v>
      </c>
      <c r="E1165" s="15" t="s">
        <v>400</v>
      </c>
      <c r="F1165" s="14" t="s">
        <v>50</v>
      </c>
      <c r="G1165" s="57">
        <f>G1166</f>
        <v>0</v>
      </c>
      <c r="H1165" s="116"/>
      <c r="I1165" s="117"/>
      <c r="J1165" s="116"/>
      <c r="K1165" s="80"/>
      <c r="L1165" s="79"/>
      <c r="M1165" s="79"/>
      <c r="AG1165" s="79"/>
      <c r="AH1165" s="79"/>
      <c r="DT1165" s="99">
        <f t="shared" ref="DT1165:DT1228" si="20">DN1165+DO1165+DP1165+DQ1165+DR1165+DS1165</f>
        <v>0</v>
      </c>
    </row>
    <row r="1166" spans="1:124" ht="63" hidden="1" customHeight="1" collapsed="1" x14ac:dyDescent="0.3">
      <c r="A1166" s="156" t="s">
        <v>138</v>
      </c>
      <c r="B1166" s="13">
        <v>936</v>
      </c>
      <c r="C1166" s="14" t="s">
        <v>123</v>
      </c>
      <c r="D1166" s="6" t="s">
        <v>116</v>
      </c>
      <c r="E1166" s="15" t="s">
        <v>51</v>
      </c>
      <c r="F1166" s="14" t="s">
        <v>50</v>
      </c>
      <c r="G1166" s="57">
        <f>G1167+G1174+G1172+G1177+G1179</f>
        <v>0</v>
      </c>
      <c r="H1166" s="116"/>
      <c r="I1166" s="117"/>
      <c r="J1166" s="116"/>
      <c r="K1166" s="80"/>
      <c r="L1166" s="79"/>
      <c r="M1166" s="79"/>
      <c r="AG1166" s="79"/>
      <c r="AH1166" s="79"/>
      <c r="DT1166" s="99">
        <f t="shared" si="20"/>
        <v>0</v>
      </c>
    </row>
    <row r="1167" spans="1:124" ht="43.5" hidden="1" customHeight="1" x14ac:dyDescent="0.3">
      <c r="A1167" s="143" t="s">
        <v>52</v>
      </c>
      <c r="B1167" s="14" t="s">
        <v>285</v>
      </c>
      <c r="C1167" s="14" t="s">
        <v>123</v>
      </c>
      <c r="D1167" s="14" t="s">
        <v>116</v>
      </c>
      <c r="E1167" s="14" t="s">
        <v>53</v>
      </c>
      <c r="F1167" s="14" t="s">
        <v>50</v>
      </c>
      <c r="G1167" s="57">
        <f>G1168+G1170</f>
        <v>0</v>
      </c>
      <c r="H1167" s="116"/>
      <c r="I1167" s="117"/>
      <c r="J1167" s="116"/>
      <c r="K1167" s="80"/>
      <c r="L1167" s="79"/>
      <c r="M1167" s="79"/>
      <c r="AG1167" s="79"/>
      <c r="AH1167" s="79"/>
      <c r="DT1167" s="99">
        <f t="shared" si="20"/>
        <v>0</v>
      </c>
    </row>
    <row r="1168" spans="1:124" ht="33.75" hidden="1" customHeight="1" x14ac:dyDescent="0.3">
      <c r="A1168" s="143" t="s">
        <v>73</v>
      </c>
      <c r="B1168" s="14" t="s">
        <v>285</v>
      </c>
      <c r="C1168" s="14" t="s">
        <v>123</v>
      </c>
      <c r="D1168" s="14" t="s">
        <v>116</v>
      </c>
      <c r="E1168" s="14" t="s">
        <v>39</v>
      </c>
      <c r="F1168" s="14" t="s">
        <v>50</v>
      </c>
      <c r="G1168" s="57">
        <f>G1169</f>
        <v>0</v>
      </c>
      <c r="H1168" s="116"/>
      <c r="I1168" s="117"/>
      <c r="J1168" s="116"/>
      <c r="K1168" s="80"/>
      <c r="L1168" s="79"/>
      <c r="M1168" s="79"/>
      <c r="AG1168" s="79"/>
      <c r="AH1168" s="79"/>
      <c r="DT1168" s="99">
        <f t="shared" si="20"/>
        <v>0</v>
      </c>
    </row>
    <row r="1169" spans="1:124" ht="45" hidden="1" customHeight="1" x14ac:dyDescent="0.3">
      <c r="A1169" s="143" t="s">
        <v>264</v>
      </c>
      <c r="B1169" s="14" t="s">
        <v>285</v>
      </c>
      <c r="C1169" s="14" t="s">
        <v>123</v>
      </c>
      <c r="D1169" s="14" t="s">
        <v>116</v>
      </c>
      <c r="E1169" s="14" t="s">
        <v>39</v>
      </c>
      <c r="F1169" s="14" t="s">
        <v>261</v>
      </c>
      <c r="G1169" s="57">
        <v>0</v>
      </c>
      <c r="H1169" s="116"/>
      <c r="I1169" s="117"/>
      <c r="J1169" s="116"/>
      <c r="K1169" s="80"/>
      <c r="L1169" s="79">
        <v>-4269.2</v>
      </c>
      <c r="M1169" s="79"/>
      <c r="AG1169" s="79"/>
      <c r="AH1169" s="79"/>
      <c r="DT1169" s="99">
        <f t="shared" si="20"/>
        <v>0</v>
      </c>
    </row>
    <row r="1170" spans="1:124" ht="37.5" hidden="1" x14ac:dyDescent="0.3">
      <c r="A1170" s="162" t="s">
        <v>374</v>
      </c>
      <c r="B1170" s="14" t="s">
        <v>285</v>
      </c>
      <c r="C1170" s="14" t="s">
        <v>123</v>
      </c>
      <c r="D1170" s="14" t="s">
        <v>116</v>
      </c>
      <c r="E1170" s="14" t="s">
        <v>377</v>
      </c>
      <c r="F1170" s="14" t="s">
        <v>50</v>
      </c>
      <c r="G1170" s="57">
        <f>G1171</f>
        <v>0</v>
      </c>
      <c r="H1170" s="116"/>
      <c r="I1170" s="117"/>
      <c r="J1170" s="116"/>
      <c r="K1170" s="80"/>
      <c r="L1170" s="79"/>
      <c r="M1170" s="79"/>
      <c r="AG1170" s="79"/>
      <c r="AH1170" s="79"/>
      <c r="DT1170" s="99">
        <f t="shared" si="20"/>
        <v>0</v>
      </c>
    </row>
    <row r="1171" spans="1:124" ht="56.25" hidden="1" x14ac:dyDescent="0.3">
      <c r="A1171" s="143" t="s">
        <v>264</v>
      </c>
      <c r="B1171" s="14" t="s">
        <v>285</v>
      </c>
      <c r="C1171" s="14" t="s">
        <v>123</v>
      </c>
      <c r="D1171" s="14" t="s">
        <v>116</v>
      </c>
      <c r="E1171" s="14" t="s">
        <v>377</v>
      </c>
      <c r="F1171" s="14" t="s">
        <v>261</v>
      </c>
      <c r="G1171" s="57">
        <v>0</v>
      </c>
      <c r="H1171" s="116"/>
      <c r="I1171" s="117"/>
      <c r="J1171" s="116"/>
      <c r="K1171" s="80"/>
      <c r="L1171" s="79">
        <v>-733.5</v>
      </c>
      <c r="M1171" s="79"/>
      <c r="AG1171" s="79"/>
      <c r="AH1171" s="79"/>
      <c r="DT1171" s="99">
        <f t="shared" si="20"/>
        <v>0</v>
      </c>
    </row>
    <row r="1172" spans="1:124" ht="44.25" hidden="1" customHeight="1" x14ac:dyDescent="0.3">
      <c r="A1172" s="143" t="s">
        <v>68</v>
      </c>
      <c r="B1172" s="13">
        <v>936</v>
      </c>
      <c r="C1172" s="14" t="s">
        <v>123</v>
      </c>
      <c r="D1172" s="6" t="s">
        <v>116</v>
      </c>
      <c r="E1172" s="14" t="s">
        <v>69</v>
      </c>
      <c r="F1172" s="14" t="s">
        <v>50</v>
      </c>
      <c r="G1172" s="57">
        <f>G1173</f>
        <v>0</v>
      </c>
      <c r="H1172" s="116"/>
      <c r="I1172" s="117"/>
      <c r="J1172" s="116"/>
      <c r="K1172" s="80"/>
      <c r="L1172" s="79"/>
      <c r="M1172" s="79"/>
      <c r="AG1172" s="79"/>
      <c r="AH1172" s="79"/>
      <c r="DT1172" s="99">
        <f t="shared" si="20"/>
        <v>0</v>
      </c>
    </row>
    <row r="1173" spans="1:124" ht="99" hidden="1" customHeight="1" x14ac:dyDescent="0.3">
      <c r="A1173" s="143" t="s">
        <v>76</v>
      </c>
      <c r="B1173" s="13">
        <v>936</v>
      </c>
      <c r="C1173" s="14" t="s">
        <v>123</v>
      </c>
      <c r="D1173" s="6" t="s">
        <v>116</v>
      </c>
      <c r="E1173" s="14" t="s">
        <v>41</v>
      </c>
      <c r="F1173" s="14" t="s">
        <v>50</v>
      </c>
      <c r="G1173" s="57">
        <f>G1176</f>
        <v>0</v>
      </c>
      <c r="H1173" s="116"/>
      <c r="I1173" s="117"/>
      <c r="J1173" s="116"/>
      <c r="K1173" s="80"/>
      <c r="L1173" s="79"/>
      <c r="M1173" s="79"/>
      <c r="AG1173" s="79"/>
      <c r="AH1173" s="79"/>
      <c r="DT1173" s="99">
        <f t="shared" si="20"/>
        <v>0</v>
      </c>
    </row>
    <row r="1174" spans="1:124" ht="24.75" hidden="1" customHeight="1" x14ac:dyDescent="0.3">
      <c r="A1174" s="143" t="s">
        <v>81</v>
      </c>
      <c r="B1174" s="14" t="s">
        <v>285</v>
      </c>
      <c r="C1174" s="14" t="s">
        <v>123</v>
      </c>
      <c r="D1174" s="14" t="s">
        <v>116</v>
      </c>
      <c r="E1174" s="14" t="s">
        <v>149</v>
      </c>
      <c r="F1174" s="14" t="s">
        <v>50</v>
      </c>
      <c r="G1174" s="57">
        <f>G1175</f>
        <v>0</v>
      </c>
      <c r="H1174" s="116"/>
      <c r="I1174" s="117"/>
      <c r="J1174" s="116"/>
      <c r="K1174" s="80"/>
      <c r="L1174" s="79"/>
      <c r="M1174" s="79"/>
      <c r="AG1174" s="79"/>
      <c r="AH1174" s="79"/>
      <c r="DT1174" s="99">
        <f t="shared" si="20"/>
        <v>0</v>
      </c>
    </row>
    <row r="1175" spans="1:124" ht="44.25" hidden="1" customHeight="1" x14ac:dyDescent="0.3">
      <c r="A1175" s="143" t="s">
        <v>264</v>
      </c>
      <c r="B1175" s="14" t="s">
        <v>285</v>
      </c>
      <c r="C1175" s="14" t="s">
        <v>123</v>
      </c>
      <c r="D1175" s="14" t="s">
        <v>116</v>
      </c>
      <c r="E1175" s="14" t="s">
        <v>149</v>
      </c>
      <c r="F1175" s="14" t="s">
        <v>261</v>
      </c>
      <c r="G1175" s="57">
        <v>0</v>
      </c>
      <c r="H1175" s="116"/>
      <c r="I1175" s="117"/>
      <c r="J1175" s="116"/>
      <c r="K1175" s="80"/>
      <c r="L1175" s="79"/>
      <c r="M1175" s="79"/>
      <c r="AG1175" s="79"/>
      <c r="AH1175" s="79"/>
      <c r="DT1175" s="99">
        <f t="shared" si="20"/>
        <v>0</v>
      </c>
    </row>
    <row r="1176" spans="1:124" ht="44.25" hidden="1" customHeight="1" x14ac:dyDescent="0.3">
      <c r="A1176" s="143" t="s">
        <v>264</v>
      </c>
      <c r="B1176" s="13">
        <v>936</v>
      </c>
      <c r="C1176" s="14" t="s">
        <v>123</v>
      </c>
      <c r="D1176" s="6" t="s">
        <v>116</v>
      </c>
      <c r="E1176" s="14" t="s">
        <v>41</v>
      </c>
      <c r="F1176" s="14" t="s">
        <v>261</v>
      </c>
      <c r="G1176" s="57">
        <v>0</v>
      </c>
      <c r="H1176" s="116"/>
      <c r="I1176" s="117"/>
      <c r="J1176" s="116"/>
      <c r="K1176" s="80"/>
      <c r="L1176" s="79">
        <v>-26466</v>
      </c>
      <c r="M1176" s="79"/>
      <c r="AG1176" s="79"/>
      <c r="AH1176" s="79"/>
      <c r="DT1176" s="99">
        <f t="shared" si="20"/>
        <v>0</v>
      </c>
    </row>
    <row r="1177" spans="1:124" ht="56.25" hidden="1" x14ac:dyDescent="0.3">
      <c r="A1177" s="143" t="s">
        <v>477</v>
      </c>
      <c r="B1177" s="13">
        <v>936</v>
      </c>
      <c r="C1177" s="14" t="s">
        <v>123</v>
      </c>
      <c r="D1177" s="6" t="s">
        <v>116</v>
      </c>
      <c r="E1177" s="14" t="s">
        <v>478</v>
      </c>
      <c r="F1177" s="14" t="s">
        <v>50</v>
      </c>
      <c r="G1177" s="57">
        <v>0</v>
      </c>
      <c r="H1177" s="116"/>
      <c r="I1177" s="117"/>
      <c r="J1177" s="116"/>
      <c r="K1177" s="80"/>
      <c r="L1177" s="79">
        <v>-2615.9</v>
      </c>
      <c r="M1177" s="79"/>
      <c r="AG1177" s="79"/>
      <c r="AH1177" s="79"/>
      <c r="DT1177" s="99">
        <f t="shared" si="20"/>
        <v>0</v>
      </c>
    </row>
    <row r="1178" spans="1:124" ht="59.25" hidden="1" customHeight="1" x14ac:dyDescent="0.3">
      <c r="A1178" s="143" t="s">
        <v>264</v>
      </c>
      <c r="B1178" s="13">
        <v>936</v>
      </c>
      <c r="C1178" s="14" t="s">
        <v>123</v>
      </c>
      <c r="D1178" s="6" t="s">
        <v>116</v>
      </c>
      <c r="E1178" s="14" t="s">
        <v>478</v>
      </c>
      <c r="F1178" s="14" t="s">
        <v>261</v>
      </c>
      <c r="G1178" s="57">
        <v>0</v>
      </c>
      <c r="H1178" s="116"/>
      <c r="I1178" s="117"/>
      <c r="J1178" s="116"/>
      <c r="K1178" s="80"/>
      <c r="L1178" s="79"/>
      <c r="M1178" s="79"/>
      <c r="AG1178" s="79"/>
      <c r="AH1178" s="79"/>
      <c r="DT1178" s="99">
        <f t="shared" si="20"/>
        <v>0</v>
      </c>
    </row>
    <row r="1179" spans="1:124" ht="69" hidden="1" customHeight="1" x14ac:dyDescent="0.3">
      <c r="A1179" s="143" t="s">
        <v>475</v>
      </c>
      <c r="B1179" s="13">
        <v>936</v>
      </c>
      <c r="C1179" s="14" t="s">
        <v>123</v>
      </c>
      <c r="D1179" s="6" t="s">
        <v>116</v>
      </c>
      <c r="E1179" s="14" t="s">
        <v>476</v>
      </c>
      <c r="F1179" s="14" t="s">
        <v>50</v>
      </c>
      <c r="G1179" s="57">
        <f>G1180</f>
        <v>0</v>
      </c>
      <c r="H1179" s="116"/>
      <c r="I1179" s="117"/>
      <c r="J1179" s="116"/>
      <c r="K1179" s="80"/>
      <c r="L1179" s="79"/>
      <c r="M1179" s="79"/>
      <c r="AG1179" s="79"/>
      <c r="AH1179" s="79"/>
      <c r="DT1179" s="99">
        <f t="shared" si="20"/>
        <v>0</v>
      </c>
    </row>
    <row r="1180" spans="1:124" ht="63" hidden="1" customHeight="1" x14ac:dyDescent="0.3">
      <c r="A1180" s="143" t="s">
        <v>264</v>
      </c>
      <c r="B1180" s="13">
        <v>936</v>
      </c>
      <c r="C1180" s="14" t="s">
        <v>123</v>
      </c>
      <c r="D1180" s="6" t="s">
        <v>116</v>
      </c>
      <c r="E1180" s="14" t="s">
        <v>476</v>
      </c>
      <c r="F1180" s="14" t="s">
        <v>261</v>
      </c>
      <c r="G1180" s="57">
        <v>0</v>
      </c>
      <c r="H1180" s="116"/>
      <c r="I1180" s="117"/>
      <c r="J1180" s="116"/>
      <c r="K1180" s="80"/>
      <c r="L1180" s="79">
        <v>-3028.6</v>
      </c>
      <c r="M1180" s="79"/>
      <c r="AG1180" s="79"/>
      <c r="AH1180" s="79"/>
      <c r="DT1180" s="99">
        <f t="shared" si="20"/>
        <v>0</v>
      </c>
    </row>
    <row r="1181" spans="1:124" ht="36" customHeight="1" x14ac:dyDescent="0.3">
      <c r="A1181" s="155" t="s">
        <v>126</v>
      </c>
      <c r="B1181" s="12">
        <v>936</v>
      </c>
      <c r="C1181" s="9" t="s">
        <v>123</v>
      </c>
      <c r="D1181" s="19" t="s">
        <v>117</v>
      </c>
      <c r="E1181" s="9" t="s">
        <v>49</v>
      </c>
      <c r="F1181" s="9" t="s">
        <v>50</v>
      </c>
      <c r="G1181" s="68">
        <f>G1182+G1197+G1209</f>
        <v>24192.699999999997</v>
      </c>
      <c r="H1181" s="116"/>
      <c r="I1181" s="117"/>
      <c r="J1181" s="116"/>
      <c r="K1181" s="80"/>
      <c r="L1181" s="79"/>
      <c r="M1181" s="79"/>
      <c r="AG1181" s="79"/>
      <c r="AH1181" s="79"/>
      <c r="DT1181" s="99">
        <f t="shared" si="20"/>
        <v>0</v>
      </c>
    </row>
    <row r="1182" spans="1:124" ht="48" customHeight="1" x14ac:dyDescent="0.3">
      <c r="A1182" s="143" t="s">
        <v>38</v>
      </c>
      <c r="B1182" s="13">
        <v>936</v>
      </c>
      <c r="C1182" s="14" t="s">
        <v>123</v>
      </c>
      <c r="D1182" s="6" t="s">
        <v>117</v>
      </c>
      <c r="E1182" s="15" t="s">
        <v>400</v>
      </c>
      <c r="F1182" s="14" t="s">
        <v>50</v>
      </c>
      <c r="G1182" s="57">
        <f>G1183+G1207</f>
        <v>24192.699999999997</v>
      </c>
      <c r="H1182" s="116"/>
      <c r="I1182" s="117"/>
      <c r="J1182" s="116"/>
      <c r="K1182" s="80"/>
      <c r="L1182" s="79"/>
      <c r="M1182" s="79"/>
      <c r="AG1182" s="79"/>
      <c r="AH1182" s="79"/>
      <c r="DT1182" s="99">
        <f t="shared" si="20"/>
        <v>0</v>
      </c>
    </row>
    <row r="1183" spans="1:124" ht="54.75" customHeight="1" x14ac:dyDescent="0.3">
      <c r="A1183" s="156" t="s">
        <v>138</v>
      </c>
      <c r="B1183" s="13">
        <v>936</v>
      </c>
      <c r="C1183" s="14" t="s">
        <v>123</v>
      </c>
      <c r="D1183" s="6" t="s">
        <v>117</v>
      </c>
      <c r="E1183" s="15" t="s">
        <v>51</v>
      </c>
      <c r="F1183" s="14" t="s">
        <v>50</v>
      </c>
      <c r="G1183" s="57">
        <f>G1184</f>
        <v>24192.699999999997</v>
      </c>
      <c r="H1183" s="116"/>
      <c r="I1183" s="117"/>
      <c r="J1183" s="116"/>
      <c r="K1183" s="80"/>
      <c r="L1183" s="79"/>
      <c r="M1183" s="79"/>
      <c r="AG1183" s="79"/>
      <c r="AH1183" s="79"/>
      <c r="DT1183" s="99">
        <f t="shared" si="20"/>
        <v>0</v>
      </c>
    </row>
    <row r="1184" spans="1:124" ht="37.5" x14ac:dyDescent="0.3">
      <c r="A1184" s="143" t="s">
        <v>52</v>
      </c>
      <c r="B1184" s="14" t="s">
        <v>285</v>
      </c>
      <c r="C1184" s="14" t="s">
        <v>123</v>
      </c>
      <c r="D1184" s="14" t="s">
        <v>117</v>
      </c>
      <c r="E1184" s="14" t="s">
        <v>53</v>
      </c>
      <c r="F1184" s="14" t="s">
        <v>50</v>
      </c>
      <c r="G1184" s="57">
        <f>G1189+G1193</f>
        <v>24192.699999999997</v>
      </c>
      <c r="H1184" s="116"/>
      <c r="I1184" s="117"/>
      <c r="J1184" s="116"/>
      <c r="K1184" s="80"/>
      <c r="L1184" s="79"/>
      <c r="M1184" s="79"/>
      <c r="AG1184" s="79"/>
      <c r="AH1184" s="79"/>
      <c r="DT1184" s="99">
        <f t="shared" si="20"/>
        <v>0</v>
      </c>
    </row>
    <row r="1185" spans="1:124" ht="39" hidden="1" customHeight="1" x14ac:dyDescent="0.3">
      <c r="A1185" s="143" t="s">
        <v>74</v>
      </c>
      <c r="B1185" s="14" t="s">
        <v>285</v>
      </c>
      <c r="C1185" s="14" t="s">
        <v>123</v>
      </c>
      <c r="D1185" s="14" t="s">
        <v>117</v>
      </c>
      <c r="E1185" s="14" t="s">
        <v>42</v>
      </c>
      <c r="F1185" s="14" t="s">
        <v>50</v>
      </c>
      <c r="G1185" s="57">
        <f>G1186+G1188</f>
        <v>0</v>
      </c>
      <c r="H1185" s="116"/>
      <c r="I1185" s="117"/>
      <c r="J1185" s="116"/>
      <c r="K1185" s="80"/>
      <c r="L1185" s="79"/>
      <c r="M1185" s="79"/>
      <c r="AG1185" s="79"/>
      <c r="AH1185" s="79"/>
      <c r="DT1185" s="99">
        <f t="shared" si="20"/>
        <v>0</v>
      </c>
    </row>
    <row r="1186" spans="1:124" ht="56.25" hidden="1" x14ac:dyDescent="0.3">
      <c r="A1186" s="143" t="s">
        <v>264</v>
      </c>
      <c r="B1186" s="14" t="s">
        <v>285</v>
      </c>
      <c r="C1186" s="14" t="s">
        <v>123</v>
      </c>
      <c r="D1186" s="14" t="s">
        <v>117</v>
      </c>
      <c r="E1186" s="14" t="s">
        <v>42</v>
      </c>
      <c r="F1186" s="14" t="s">
        <v>261</v>
      </c>
      <c r="G1186" s="57">
        <v>0</v>
      </c>
      <c r="H1186" s="116"/>
      <c r="I1186" s="117"/>
      <c r="J1186" s="116"/>
      <c r="K1186" s="80"/>
      <c r="L1186" s="79">
        <v>-13459.5</v>
      </c>
      <c r="M1186" s="79"/>
      <c r="AG1186" s="79"/>
      <c r="AH1186" s="79"/>
      <c r="DT1186" s="99">
        <f t="shared" si="20"/>
        <v>0</v>
      </c>
    </row>
    <row r="1187" spans="1:124" ht="37.5" hidden="1" x14ac:dyDescent="0.3">
      <c r="A1187" s="162" t="s">
        <v>374</v>
      </c>
      <c r="B1187" s="14" t="s">
        <v>285</v>
      </c>
      <c r="C1187" s="14" t="s">
        <v>123</v>
      </c>
      <c r="D1187" s="14" t="s">
        <v>117</v>
      </c>
      <c r="E1187" s="14" t="s">
        <v>506</v>
      </c>
      <c r="F1187" s="14" t="s">
        <v>50</v>
      </c>
      <c r="G1187" s="57">
        <f>G1188</f>
        <v>0</v>
      </c>
      <c r="H1187" s="116"/>
      <c r="I1187" s="117"/>
      <c r="J1187" s="116"/>
      <c r="K1187" s="80"/>
      <c r="L1187" s="79"/>
      <c r="M1187" s="79"/>
      <c r="AG1187" s="79"/>
      <c r="AH1187" s="79"/>
      <c r="DT1187" s="99">
        <f t="shared" si="20"/>
        <v>0</v>
      </c>
    </row>
    <row r="1188" spans="1:124" ht="46.5" hidden="1" customHeight="1" x14ac:dyDescent="0.3">
      <c r="A1188" s="143" t="s">
        <v>264</v>
      </c>
      <c r="B1188" s="14" t="s">
        <v>285</v>
      </c>
      <c r="C1188" s="14" t="s">
        <v>123</v>
      </c>
      <c r="D1188" s="14" t="s">
        <v>117</v>
      </c>
      <c r="E1188" s="14" t="s">
        <v>506</v>
      </c>
      <c r="F1188" s="14" t="s">
        <v>261</v>
      </c>
      <c r="G1188" s="57">
        <v>0</v>
      </c>
      <c r="H1188" s="116"/>
      <c r="I1188" s="117"/>
      <c r="J1188" s="116"/>
      <c r="K1188" s="80"/>
      <c r="L1188" s="79">
        <v>-60</v>
      </c>
      <c r="M1188" s="79"/>
      <c r="AG1188" s="79"/>
      <c r="AH1188" s="79"/>
      <c r="DT1188" s="99">
        <f t="shared" si="20"/>
        <v>0</v>
      </c>
    </row>
    <row r="1189" spans="1:124" ht="33" customHeight="1" x14ac:dyDescent="0.3">
      <c r="A1189" s="143" t="s">
        <v>558</v>
      </c>
      <c r="B1189" s="14" t="s">
        <v>285</v>
      </c>
      <c r="C1189" s="14" t="s">
        <v>123</v>
      </c>
      <c r="D1189" s="14" t="s">
        <v>117</v>
      </c>
      <c r="E1189" s="14" t="s">
        <v>560</v>
      </c>
      <c r="F1189" s="14" t="s">
        <v>50</v>
      </c>
      <c r="G1189" s="57">
        <f>G1190+G1191</f>
        <v>7353.5</v>
      </c>
      <c r="H1189" s="116"/>
      <c r="I1189" s="117"/>
      <c r="J1189" s="116"/>
      <c r="K1189" s="80"/>
      <c r="L1189" s="79"/>
      <c r="M1189" s="79"/>
      <c r="AG1189" s="79"/>
      <c r="AH1189" s="79"/>
      <c r="DT1189" s="99">
        <f t="shared" si="20"/>
        <v>0</v>
      </c>
    </row>
    <row r="1190" spans="1:124" ht="46.5" customHeight="1" x14ac:dyDescent="0.3">
      <c r="A1190" s="143" t="s">
        <v>264</v>
      </c>
      <c r="B1190" s="14" t="s">
        <v>285</v>
      </c>
      <c r="C1190" s="14" t="s">
        <v>123</v>
      </c>
      <c r="D1190" s="14" t="s">
        <v>117</v>
      </c>
      <c r="E1190" s="14" t="s">
        <v>560</v>
      </c>
      <c r="F1190" s="14" t="s">
        <v>261</v>
      </c>
      <c r="G1190" s="57">
        <f>DT1190</f>
        <v>7353.5</v>
      </c>
      <c r="H1190" s="116">
        <f>5327.8+418.1</f>
        <v>5745.9000000000005</v>
      </c>
      <c r="I1190" s="117"/>
      <c r="J1190" s="116"/>
      <c r="K1190" s="80"/>
      <c r="L1190" s="79">
        <v>4198</v>
      </c>
      <c r="M1190" s="79"/>
      <c r="AE1190">
        <v>13.7</v>
      </c>
      <c r="AG1190" s="79">
        <v>469.1</v>
      </c>
      <c r="AH1190" s="79"/>
      <c r="AK1190" s="79">
        <v>5133.1000000000004</v>
      </c>
      <c r="BL1190" s="194">
        <v>-13.3</v>
      </c>
      <c r="BM1190" s="100">
        <v>6128.4</v>
      </c>
      <c r="CS1190" s="264">
        <f>6444.7+142.8+308.1</f>
        <v>6895.6</v>
      </c>
      <c r="CV1190" s="268">
        <v>47.6</v>
      </c>
      <c r="DO1190" s="274">
        <v>6797.9</v>
      </c>
      <c r="DP1190" s="99">
        <f>274.4+67.1+8.1+9.1</f>
        <v>358.70000000000005</v>
      </c>
      <c r="DQ1190" s="99">
        <v>39.799999999999997</v>
      </c>
      <c r="DR1190" s="99">
        <v>157.1</v>
      </c>
      <c r="DT1190" s="99">
        <f t="shared" si="20"/>
        <v>7353.5</v>
      </c>
    </row>
    <row r="1191" spans="1:124" ht="46.5" hidden="1" customHeight="1" x14ac:dyDescent="0.3">
      <c r="A1191" s="162" t="s">
        <v>374</v>
      </c>
      <c r="B1191" s="14" t="s">
        <v>285</v>
      </c>
      <c r="C1191" s="14" t="s">
        <v>123</v>
      </c>
      <c r="D1191" s="14" t="s">
        <v>117</v>
      </c>
      <c r="E1191" s="14" t="s">
        <v>713</v>
      </c>
      <c r="F1191" s="14" t="s">
        <v>50</v>
      </c>
      <c r="G1191" s="57">
        <f>G1192</f>
        <v>0</v>
      </c>
      <c r="H1191" s="116"/>
      <c r="I1191" s="117"/>
      <c r="J1191" s="116"/>
      <c r="K1191" s="80"/>
      <c r="L1191" s="79"/>
      <c r="M1191" s="79"/>
      <c r="AG1191" s="79"/>
      <c r="AH1191" s="79"/>
      <c r="DT1191" s="99">
        <f t="shared" si="20"/>
        <v>0</v>
      </c>
    </row>
    <row r="1192" spans="1:124" ht="46.5" hidden="1" customHeight="1" x14ac:dyDescent="0.3">
      <c r="A1192" s="143" t="s">
        <v>264</v>
      </c>
      <c r="B1192" s="14" t="s">
        <v>285</v>
      </c>
      <c r="C1192" s="14" t="s">
        <v>123</v>
      </c>
      <c r="D1192" s="14" t="s">
        <v>117</v>
      </c>
      <c r="E1192" s="14" t="s">
        <v>713</v>
      </c>
      <c r="F1192" s="14" t="s">
        <v>261</v>
      </c>
      <c r="G1192" s="57">
        <v>0</v>
      </c>
      <c r="H1192" s="116"/>
      <c r="I1192" s="117"/>
      <c r="J1192" s="116"/>
      <c r="K1192" s="80"/>
      <c r="L1192" s="79"/>
      <c r="M1192" s="79"/>
      <c r="AG1192" s="79"/>
      <c r="AH1192" s="79"/>
      <c r="AP1192" s="151">
        <v>378.8</v>
      </c>
      <c r="BK1192" s="226">
        <v>26.5</v>
      </c>
      <c r="BY1192" s="151">
        <v>312.2</v>
      </c>
      <c r="CI1192" s="194">
        <v>135.5</v>
      </c>
      <c r="CP1192" s="259">
        <v>297.89999999999998</v>
      </c>
      <c r="CW1192" s="268">
        <v>502.3</v>
      </c>
      <c r="DT1192" s="99">
        <f t="shared" si="20"/>
        <v>0</v>
      </c>
    </row>
    <row r="1193" spans="1:124" ht="27.75" customHeight="1" x14ac:dyDescent="0.3">
      <c r="A1193" s="143" t="s">
        <v>559</v>
      </c>
      <c r="B1193" s="14" t="s">
        <v>285</v>
      </c>
      <c r="C1193" s="14" t="s">
        <v>123</v>
      </c>
      <c r="D1193" s="14" t="s">
        <v>117</v>
      </c>
      <c r="E1193" s="14" t="s">
        <v>561</v>
      </c>
      <c r="F1193" s="14" t="s">
        <v>50</v>
      </c>
      <c r="G1193" s="57">
        <f>G1194+G1196</f>
        <v>16839.199999999997</v>
      </c>
      <c r="H1193" s="116"/>
      <c r="I1193" s="117"/>
      <c r="J1193" s="116"/>
      <c r="K1193" s="80"/>
      <c r="L1193" s="79"/>
      <c r="M1193" s="79"/>
      <c r="AG1193" s="79"/>
      <c r="AH1193" s="79"/>
      <c r="DT1193" s="99">
        <f t="shared" si="20"/>
        <v>0</v>
      </c>
    </row>
    <row r="1194" spans="1:124" ht="46.5" customHeight="1" x14ac:dyDescent="0.3">
      <c r="A1194" s="143" t="s">
        <v>264</v>
      </c>
      <c r="B1194" s="14" t="s">
        <v>285</v>
      </c>
      <c r="C1194" s="14" t="s">
        <v>123</v>
      </c>
      <c r="D1194" s="14" t="s">
        <v>117</v>
      </c>
      <c r="E1194" s="14" t="s">
        <v>561</v>
      </c>
      <c r="F1194" s="14" t="s">
        <v>261</v>
      </c>
      <c r="G1194" s="57">
        <f>DT1194</f>
        <v>12639.199999999999</v>
      </c>
      <c r="H1194" s="116">
        <f>9525.1+1701.4+46.4</f>
        <v>11272.9</v>
      </c>
      <c r="I1194" s="117"/>
      <c r="J1194" s="116"/>
      <c r="K1194" s="80"/>
      <c r="L1194" s="79">
        <v>9261.5</v>
      </c>
      <c r="M1194" s="79">
        <v>-52</v>
      </c>
      <c r="AG1194" s="79"/>
      <c r="AH1194" s="79"/>
      <c r="AK1194" s="79">
        <v>9376.2999999999993</v>
      </c>
      <c r="BL1194" s="194">
        <v>-57</v>
      </c>
      <c r="BM1194" s="100">
        <v>11559.9</v>
      </c>
      <c r="CG1194" s="194">
        <v>92</v>
      </c>
      <c r="CS1194" s="264">
        <f>150+43.5+11876.1+1932.1</f>
        <v>14001.7</v>
      </c>
      <c r="DO1194" s="274">
        <f>13994.3-4200</f>
        <v>9794.2999999999993</v>
      </c>
      <c r="DP1194" s="99">
        <f>1910.6+154.9+10.9+12.4</f>
        <v>2088.8000000000002</v>
      </c>
      <c r="DQ1194" s="99">
        <v>57.2</v>
      </c>
      <c r="DR1194" s="99">
        <v>165</v>
      </c>
      <c r="DS1194" s="99">
        <v>533.9</v>
      </c>
      <c r="DT1194" s="99">
        <f t="shared" si="20"/>
        <v>12639.199999999999</v>
      </c>
    </row>
    <row r="1195" spans="1:124" ht="46.5" customHeight="1" x14ac:dyDescent="0.3">
      <c r="A1195" s="162" t="s">
        <v>374</v>
      </c>
      <c r="B1195" s="14" t="s">
        <v>285</v>
      </c>
      <c r="C1195" s="14" t="s">
        <v>123</v>
      </c>
      <c r="D1195" s="14" t="s">
        <v>117</v>
      </c>
      <c r="E1195" s="14" t="s">
        <v>562</v>
      </c>
      <c r="F1195" s="14" t="s">
        <v>50</v>
      </c>
      <c r="G1195" s="57">
        <f>G1196</f>
        <v>4200</v>
      </c>
      <c r="H1195" s="116"/>
      <c r="I1195" s="117"/>
      <c r="J1195" s="116"/>
      <c r="K1195" s="80"/>
      <c r="L1195" s="79"/>
      <c r="M1195" s="79"/>
      <c r="AG1195" s="79"/>
      <c r="AH1195" s="79"/>
      <c r="DT1195" s="99">
        <f t="shared" si="20"/>
        <v>0</v>
      </c>
    </row>
    <row r="1196" spans="1:124" ht="39" customHeight="1" x14ac:dyDescent="0.3">
      <c r="A1196" s="143" t="s">
        <v>264</v>
      </c>
      <c r="B1196" s="14" t="s">
        <v>285</v>
      </c>
      <c r="C1196" s="14" t="s">
        <v>123</v>
      </c>
      <c r="D1196" s="14" t="s">
        <v>117</v>
      </c>
      <c r="E1196" s="14" t="s">
        <v>562</v>
      </c>
      <c r="F1196" s="14" t="s">
        <v>261</v>
      </c>
      <c r="G1196" s="57">
        <f>DT1196</f>
        <v>4200</v>
      </c>
      <c r="H1196" s="116"/>
      <c r="I1196" s="117"/>
      <c r="J1196" s="116"/>
      <c r="K1196" s="80"/>
      <c r="L1196" s="79">
        <v>60</v>
      </c>
      <c r="M1196" s="79"/>
      <c r="AF1196">
        <v>-19.446000000000002</v>
      </c>
      <c r="AG1196" s="79"/>
      <c r="AH1196" s="79"/>
      <c r="AK1196" s="79">
        <v>0</v>
      </c>
      <c r="AP1196" s="151">
        <v>885.7</v>
      </c>
      <c r="BK1196" s="226">
        <v>294</v>
      </c>
      <c r="BY1196" s="151">
        <v>615.9</v>
      </c>
      <c r="CI1196" s="194">
        <v>269.3</v>
      </c>
      <c r="CO1196" s="259">
        <v>1413.7</v>
      </c>
      <c r="CW1196" s="268">
        <v>1059.5999999999999</v>
      </c>
      <c r="DI1196" s="270">
        <v>243</v>
      </c>
      <c r="DO1196" s="274">
        <v>4200</v>
      </c>
      <c r="DT1196" s="99">
        <f t="shared" si="20"/>
        <v>4200</v>
      </c>
    </row>
    <row r="1197" spans="1:124" ht="45.75" hidden="1" customHeight="1" x14ac:dyDescent="0.3">
      <c r="A1197" s="156" t="s">
        <v>158</v>
      </c>
      <c r="B1197" s="14" t="s">
        <v>285</v>
      </c>
      <c r="C1197" s="14" t="s">
        <v>123</v>
      </c>
      <c r="D1197" s="14" t="s">
        <v>117</v>
      </c>
      <c r="E1197" s="14" t="s">
        <v>85</v>
      </c>
      <c r="F1197" s="14" t="s">
        <v>50</v>
      </c>
      <c r="G1197" s="57">
        <f>G1198</f>
        <v>0</v>
      </c>
      <c r="H1197" s="116"/>
      <c r="I1197" s="117"/>
      <c r="J1197" s="116"/>
      <c r="K1197" s="80"/>
      <c r="L1197" s="79"/>
      <c r="M1197" s="79"/>
      <c r="AG1197" s="79"/>
      <c r="AH1197" s="79"/>
      <c r="DT1197" s="99">
        <f t="shared" si="20"/>
        <v>0</v>
      </c>
    </row>
    <row r="1198" spans="1:124" ht="27" hidden="1" customHeight="1" x14ac:dyDescent="0.3">
      <c r="A1198" s="143" t="s">
        <v>409</v>
      </c>
      <c r="B1198" s="14" t="s">
        <v>285</v>
      </c>
      <c r="C1198" s="14" t="s">
        <v>123</v>
      </c>
      <c r="D1198" s="14" t="s">
        <v>117</v>
      </c>
      <c r="E1198" s="14" t="s">
        <v>90</v>
      </c>
      <c r="F1198" s="14" t="s">
        <v>50</v>
      </c>
      <c r="G1198" s="57">
        <f>G1199+G1202</f>
        <v>0</v>
      </c>
      <c r="H1198" s="116"/>
      <c r="I1198" s="117"/>
      <c r="J1198" s="116"/>
      <c r="K1198" s="80"/>
      <c r="L1198" s="79"/>
      <c r="M1198" s="79"/>
      <c r="AG1198" s="79"/>
      <c r="AH1198" s="79"/>
      <c r="DT1198" s="99">
        <f t="shared" si="20"/>
        <v>0</v>
      </c>
    </row>
    <row r="1199" spans="1:124" ht="27" hidden="1" customHeight="1" x14ac:dyDescent="0.3">
      <c r="A1199" s="218" t="s">
        <v>556</v>
      </c>
      <c r="B1199" s="14" t="s">
        <v>285</v>
      </c>
      <c r="C1199" s="14" t="s">
        <v>123</v>
      </c>
      <c r="D1199" s="14" t="s">
        <v>117</v>
      </c>
      <c r="E1199" s="14" t="s">
        <v>557</v>
      </c>
      <c r="F1199" s="14" t="s">
        <v>50</v>
      </c>
      <c r="G1199" s="57">
        <f>G1200</f>
        <v>0</v>
      </c>
      <c r="H1199" s="116"/>
      <c r="I1199" s="117"/>
      <c r="J1199" s="116"/>
      <c r="K1199" s="80"/>
      <c r="L1199" s="79"/>
      <c r="M1199" s="79"/>
      <c r="AG1199" s="79"/>
      <c r="AH1199" s="79"/>
      <c r="DT1199" s="99">
        <f t="shared" si="20"/>
        <v>0</v>
      </c>
    </row>
    <row r="1200" spans="1:124" ht="30.75" hidden="1" customHeight="1" x14ac:dyDescent="0.3">
      <c r="A1200" s="172" t="s">
        <v>555</v>
      </c>
      <c r="B1200" s="14" t="s">
        <v>285</v>
      </c>
      <c r="C1200" s="14" t="s">
        <v>123</v>
      </c>
      <c r="D1200" s="14" t="s">
        <v>117</v>
      </c>
      <c r="E1200" s="14" t="s">
        <v>632</v>
      </c>
      <c r="F1200" s="14" t="s">
        <v>50</v>
      </c>
      <c r="G1200" s="57">
        <f>G1201</f>
        <v>0</v>
      </c>
      <c r="H1200" s="116"/>
      <c r="I1200" s="117"/>
      <c r="J1200" s="116"/>
      <c r="K1200" s="80">
        <v>766</v>
      </c>
      <c r="L1200" s="79"/>
      <c r="M1200" s="79">
        <v>7.74</v>
      </c>
      <c r="AG1200" s="79"/>
      <c r="AH1200" s="79"/>
      <c r="DT1200" s="99">
        <f t="shared" si="20"/>
        <v>0</v>
      </c>
    </row>
    <row r="1201" spans="1:124" ht="46.5" hidden="1" customHeight="1" x14ac:dyDescent="0.3">
      <c r="A1201" s="143" t="s">
        <v>264</v>
      </c>
      <c r="B1201" s="14" t="s">
        <v>285</v>
      </c>
      <c r="C1201" s="14" t="s">
        <v>123</v>
      </c>
      <c r="D1201" s="14" t="s">
        <v>117</v>
      </c>
      <c r="E1201" s="14" t="s">
        <v>632</v>
      </c>
      <c r="F1201" s="14" t="s">
        <v>261</v>
      </c>
      <c r="G1201" s="57">
        <v>0</v>
      </c>
      <c r="H1201" s="116"/>
      <c r="I1201" s="117"/>
      <c r="J1201" s="116"/>
      <c r="K1201" s="80"/>
      <c r="L1201" s="79"/>
      <c r="M1201" s="79"/>
      <c r="AC1201">
        <v>7.3600000000000002E-3</v>
      </c>
      <c r="AG1201" s="79"/>
      <c r="AH1201" s="79"/>
      <c r="AK1201" s="79">
        <v>0</v>
      </c>
      <c r="DT1201" s="99">
        <f t="shared" si="20"/>
        <v>0</v>
      </c>
    </row>
    <row r="1202" spans="1:124" ht="30.75" hidden="1" customHeight="1" x14ac:dyDescent="0.3">
      <c r="A1202" s="143" t="s">
        <v>62</v>
      </c>
      <c r="B1202" s="14" t="s">
        <v>285</v>
      </c>
      <c r="C1202" s="14" t="s">
        <v>123</v>
      </c>
      <c r="D1202" s="14" t="s">
        <v>117</v>
      </c>
      <c r="E1202" s="14" t="s">
        <v>310</v>
      </c>
      <c r="F1202" s="14" t="s">
        <v>50</v>
      </c>
      <c r="G1202" s="57">
        <f>G1203</f>
        <v>0</v>
      </c>
      <c r="H1202" s="116"/>
      <c r="I1202" s="117"/>
      <c r="J1202" s="116"/>
      <c r="K1202" s="80"/>
      <c r="L1202" s="79"/>
      <c r="M1202" s="79"/>
      <c r="AG1202" s="79"/>
      <c r="AH1202" s="79"/>
      <c r="DT1202" s="99">
        <f t="shared" si="20"/>
        <v>0</v>
      </c>
    </row>
    <row r="1203" spans="1:124" ht="24" hidden="1" customHeight="1" x14ac:dyDescent="0.3">
      <c r="A1203" s="172" t="s">
        <v>555</v>
      </c>
      <c r="B1203" s="14" t="s">
        <v>285</v>
      </c>
      <c r="C1203" s="14" t="s">
        <v>123</v>
      </c>
      <c r="D1203" s="14" t="s">
        <v>117</v>
      </c>
      <c r="E1203" s="14" t="s">
        <v>554</v>
      </c>
      <c r="F1203" s="14" t="s">
        <v>50</v>
      </c>
      <c r="G1203" s="57">
        <f>G1204</f>
        <v>0</v>
      </c>
      <c r="H1203" s="116"/>
      <c r="I1203" s="117"/>
      <c r="J1203" s="116"/>
      <c r="K1203" s="80"/>
      <c r="L1203" s="79"/>
      <c r="M1203" s="79">
        <v>266.86</v>
      </c>
      <c r="AG1203" s="79"/>
      <c r="AH1203" s="79"/>
      <c r="DT1203" s="99">
        <f t="shared" si="20"/>
        <v>0</v>
      </c>
    </row>
    <row r="1204" spans="1:124" ht="47.25" hidden="1" customHeight="1" x14ac:dyDescent="0.3">
      <c r="A1204" s="143" t="s">
        <v>264</v>
      </c>
      <c r="B1204" s="14" t="s">
        <v>285</v>
      </c>
      <c r="C1204" s="14" t="s">
        <v>123</v>
      </c>
      <c r="D1204" s="14" t="s">
        <v>117</v>
      </c>
      <c r="E1204" s="14" t="s">
        <v>554</v>
      </c>
      <c r="F1204" s="14" t="s">
        <v>261</v>
      </c>
      <c r="G1204" s="57">
        <v>0</v>
      </c>
      <c r="H1204" s="116"/>
      <c r="I1204" s="117"/>
      <c r="J1204" s="116"/>
      <c r="K1204" s="80"/>
      <c r="L1204" s="79"/>
      <c r="M1204" s="79"/>
      <c r="N1204">
        <v>100</v>
      </c>
      <c r="T1204">
        <v>-41.667360000000002</v>
      </c>
      <c r="AG1204" s="79"/>
      <c r="AH1204" s="79"/>
      <c r="AK1204" s="79">
        <v>0</v>
      </c>
      <c r="DT1204" s="99">
        <f t="shared" si="20"/>
        <v>0</v>
      </c>
    </row>
    <row r="1205" spans="1:124" ht="47.25" hidden="1" customHeight="1" x14ac:dyDescent="0.3">
      <c r="A1205" s="244" t="s">
        <v>697</v>
      </c>
      <c r="B1205" s="14" t="s">
        <v>285</v>
      </c>
      <c r="C1205" s="14" t="s">
        <v>123</v>
      </c>
      <c r="D1205" s="14" t="s">
        <v>117</v>
      </c>
      <c r="E1205" s="14" t="s">
        <v>872</v>
      </c>
      <c r="F1205" s="14" t="s">
        <v>50</v>
      </c>
      <c r="G1205" s="57">
        <f>G1206</f>
        <v>0</v>
      </c>
      <c r="H1205" s="116"/>
      <c r="I1205" s="117"/>
      <c r="J1205" s="116"/>
      <c r="K1205" s="80"/>
      <c r="L1205" s="79"/>
      <c r="M1205" s="79"/>
      <c r="AG1205" s="79"/>
      <c r="AH1205" s="79"/>
      <c r="DT1205" s="99">
        <f t="shared" si="20"/>
        <v>0</v>
      </c>
    </row>
    <row r="1206" spans="1:124" ht="32.25" hidden="1" customHeight="1" x14ac:dyDescent="0.3">
      <c r="A1206" s="244" t="s">
        <v>556</v>
      </c>
      <c r="B1206" s="14" t="s">
        <v>285</v>
      </c>
      <c r="C1206" s="14" t="s">
        <v>123</v>
      </c>
      <c r="D1206" s="14" t="s">
        <v>117</v>
      </c>
      <c r="E1206" s="14" t="s">
        <v>873</v>
      </c>
      <c r="F1206" s="14" t="s">
        <v>50</v>
      </c>
      <c r="G1206" s="57">
        <f>G1207</f>
        <v>0</v>
      </c>
      <c r="H1206" s="116"/>
      <c r="I1206" s="117"/>
      <c r="J1206" s="116"/>
      <c r="K1206" s="80"/>
      <c r="L1206" s="79"/>
      <c r="M1206" s="79"/>
      <c r="AG1206" s="79"/>
      <c r="AH1206" s="79"/>
      <c r="DT1206" s="99">
        <f t="shared" si="20"/>
        <v>0</v>
      </c>
    </row>
    <row r="1207" spans="1:124" ht="37.5" hidden="1" customHeight="1" x14ac:dyDescent="0.3">
      <c r="A1207" s="143" t="s">
        <v>387</v>
      </c>
      <c r="B1207" s="14" t="s">
        <v>285</v>
      </c>
      <c r="C1207" s="14" t="s">
        <v>123</v>
      </c>
      <c r="D1207" s="14" t="s">
        <v>117</v>
      </c>
      <c r="E1207" s="14" t="s">
        <v>874</v>
      </c>
      <c r="F1207" s="14" t="s">
        <v>50</v>
      </c>
      <c r="G1207" s="57">
        <f>G1208</f>
        <v>0</v>
      </c>
      <c r="H1207" s="116"/>
      <c r="I1207" s="117"/>
      <c r="J1207" s="116"/>
      <c r="K1207" s="80"/>
      <c r="L1207" s="79"/>
      <c r="M1207" s="79"/>
      <c r="AG1207" s="79"/>
      <c r="AH1207" s="79"/>
      <c r="DT1207" s="99">
        <f t="shared" si="20"/>
        <v>0</v>
      </c>
    </row>
    <row r="1208" spans="1:124" ht="47.25" hidden="1" customHeight="1" x14ac:dyDescent="0.3">
      <c r="A1208" s="143" t="s">
        <v>264</v>
      </c>
      <c r="B1208" s="14" t="s">
        <v>285</v>
      </c>
      <c r="C1208" s="14" t="s">
        <v>123</v>
      </c>
      <c r="D1208" s="14" t="s">
        <v>117</v>
      </c>
      <c r="E1208" s="14" t="s">
        <v>874</v>
      </c>
      <c r="F1208" s="14" t="s">
        <v>261</v>
      </c>
      <c r="G1208" s="57">
        <v>0</v>
      </c>
      <c r="H1208" s="116"/>
      <c r="I1208" s="117"/>
      <c r="J1208" s="116"/>
      <c r="K1208" s="80"/>
      <c r="L1208" s="79"/>
      <c r="M1208" s="79"/>
      <c r="AG1208" s="79"/>
      <c r="AH1208" s="79"/>
      <c r="BO1208" s="238">
        <v>4011.55</v>
      </c>
      <c r="BP1208" s="239">
        <v>40.5</v>
      </c>
      <c r="DT1208" s="99">
        <f t="shared" si="20"/>
        <v>0</v>
      </c>
    </row>
    <row r="1209" spans="1:124" ht="66" hidden="1" customHeight="1" x14ac:dyDescent="0.3">
      <c r="A1209" s="156" t="s">
        <v>11</v>
      </c>
      <c r="B1209" s="13">
        <v>936</v>
      </c>
      <c r="C1209" s="14" t="s">
        <v>123</v>
      </c>
      <c r="D1209" s="14" t="s">
        <v>117</v>
      </c>
      <c r="E1209" s="15" t="s">
        <v>29</v>
      </c>
      <c r="F1209" s="14" t="s">
        <v>50</v>
      </c>
      <c r="G1209" s="57">
        <f>G1210+G1213+G1215</f>
        <v>0</v>
      </c>
      <c r="H1209" s="116"/>
      <c r="I1209" s="117"/>
      <c r="J1209" s="116"/>
      <c r="K1209" s="80"/>
      <c r="L1209" s="79"/>
      <c r="M1209" s="79"/>
      <c r="AG1209" s="79"/>
      <c r="AH1209" s="79"/>
      <c r="DT1209" s="99">
        <f t="shared" si="20"/>
        <v>0</v>
      </c>
    </row>
    <row r="1210" spans="1:124" ht="86.25" hidden="1" customHeight="1" x14ac:dyDescent="0.3">
      <c r="A1210" s="143" t="s">
        <v>249</v>
      </c>
      <c r="B1210" s="13">
        <v>936</v>
      </c>
      <c r="C1210" s="14" t="s">
        <v>123</v>
      </c>
      <c r="D1210" s="14" t="s">
        <v>117</v>
      </c>
      <c r="E1210" s="14" t="s">
        <v>823</v>
      </c>
      <c r="F1210" s="14" t="s">
        <v>50</v>
      </c>
      <c r="G1210" s="72">
        <f>G1211</f>
        <v>0</v>
      </c>
      <c r="H1210" s="116"/>
      <c r="I1210" s="117"/>
      <c r="J1210" s="116"/>
      <c r="K1210" s="80"/>
      <c r="L1210" s="79"/>
      <c r="M1210" s="79"/>
      <c r="AG1210" s="79"/>
      <c r="AH1210" s="79"/>
      <c r="DT1210" s="99">
        <f t="shared" si="20"/>
        <v>0</v>
      </c>
    </row>
    <row r="1211" spans="1:124" ht="148.5" hidden="1" customHeight="1" x14ac:dyDescent="0.3">
      <c r="A1211" s="143" t="s">
        <v>837</v>
      </c>
      <c r="B1211" s="13">
        <v>936</v>
      </c>
      <c r="C1211" s="14" t="s">
        <v>123</v>
      </c>
      <c r="D1211" s="14" t="s">
        <v>117</v>
      </c>
      <c r="E1211" s="14" t="s">
        <v>834</v>
      </c>
      <c r="F1211" s="14" t="s">
        <v>50</v>
      </c>
      <c r="G1211" s="72">
        <f>G1212</f>
        <v>0</v>
      </c>
      <c r="H1211" s="116"/>
      <c r="I1211" s="117"/>
      <c r="J1211" s="116"/>
      <c r="K1211" s="80"/>
      <c r="L1211" s="79"/>
      <c r="M1211" s="79"/>
      <c r="AG1211" s="79"/>
      <c r="AH1211" s="79"/>
      <c r="DT1211" s="99">
        <f t="shared" si="20"/>
        <v>0</v>
      </c>
    </row>
    <row r="1212" spans="1:124" ht="47.25" hidden="1" customHeight="1" x14ac:dyDescent="0.3">
      <c r="A1212" s="143" t="s">
        <v>264</v>
      </c>
      <c r="B1212" s="13">
        <v>936</v>
      </c>
      <c r="C1212" s="14" t="s">
        <v>123</v>
      </c>
      <c r="D1212" s="14" t="s">
        <v>117</v>
      </c>
      <c r="E1212" s="14" t="s">
        <v>834</v>
      </c>
      <c r="F1212" s="14" t="s">
        <v>261</v>
      </c>
      <c r="G1212" s="72">
        <v>0</v>
      </c>
      <c r="H1212" s="116"/>
      <c r="I1212" s="117"/>
      <c r="J1212" s="116"/>
      <c r="K1212" s="80"/>
      <c r="L1212" s="79"/>
      <c r="M1212" s="79"/>
      <c r="AG1212" s="79"/>
      <c r="AH1212" s="79"/>
      <c r="DT1212" s="99">
        <f t="shared" si="20"/>
        <v>0</v>
      </c>
    </row>
    <row r="1213" spans="1:124" ht="158.25" hidden="1" customHeight="1" x14ac:dyDescent="0.3">
      <c r="A1213" s="143" t="s">
        <v>837</v>
      </c>
      <c r="B1213" s="13">
        <v>936</v>
      </c>
      <c r="C1213" s="14" t="s">
        <v>123</v>
      </c>
      <c r="D1213" s="14" t="s">
        <v>117</v>
      </c>
      <c r="E1213" s="14" t="s">
        <v>835</v>
      </c>
      <c r="F1213" s="14" t="s">
        <v>50</v>
      </c>
      <c r="G1213" s="57">
        <f>G1214</f>
        <v>0</v>
      </c>
      <c r="H1213" s="116"/>
      <c r="I1213" s="117"/>
      <c r="J1213" s="116"/>
      <c r="K1213" s="80"/>
      <c r="L1213" s="79"/>
      <c r="M1213" s="79"/>
      <c r="AG1213" s="79"/>
      <c r="AH1213" s="79"/>
      <c r="DT1213" s="99">
        <f t="shared" si="20"/>
        <v>0</v>
      </c>
    </row>
    <row r="1214" spans="1:124" ht="47.25" hidden="1" customHeight="1" x14ac:dyDescent="0.3">
      <c r="A1214" s="143" t="s">
        <v>264</v>
      </c>
      <c r="B1214" s="13">
        <v>936</v>
      </c>
      <c r="C1214" s="14" t="s">
        <v>123</v>
      </c>
      <c r="D1214" s="14" t="s">
        <v>117</v>
      </c>
      <c r="E1214" s="14" t="s">
        <v>835</v>
      </c>
      <c r="F1214" s="14" t="s">
        <v>261</v>
      </c>
      <c r="G1214" s="57">
        <v>0</v>
      </c>
      <c r="H1214" s="116"/>
      <c r="I1214" s="117"/>
      <c r="J1214" s="116"/>
      <c r="K1214" s="80"/>
      <c r="L1214" s="79"/>
      <c r="M1214" s="79"/>
      <c r="AG1214" s="79"/>
      <c r="AH1214" s="79"/>
      <c r="DT1214" s="99">
        <f t="shared" si="20"/>
        <v>0</v>
      </c>
    </row>
    <row r="1215" spans="1:124" ht="123.75" hidden="1" customHeight="1" x14ac:dyDescent="0.3">
      <c r="A1215" s="143" t="s">
        <v>838</v>
      </c>
      <c r="B1215" s="13">
        <v>936</v>
      </c>
      <c r="C1215" s="14" t="s">
        <v>123</v>
      </c>
      <c r="D1215" s="14" t="s">
        <v>117</v>
      </c>
      <c r="E1215" s="44" t="s">
        <v>836</v>
      </c>
      <c r="F1215" s="14" t="s">
        <v>50</v>
      </c>
      <c r="G1215" s="57">
        <f>G1216</f>
        <v>0</v>
      </c>
      <c r="H1215" s="116"/>
      <c r="I1215" s="117"/>
      <c r="J1215" s="116"/>
      <c r="K1215" s="80"/>
      <c r="L1215" s="79"/>
      <c r="M1215" s="79"/>
      <c r="AG1215" s="79"/>
      <c r="AH1215" s="79"/>
      <c r="DT1215" s="99">
        <f t="shared" si="20"/>
        <v>0</v>
      </c>
    </row>
    <row r="1216" spans="1:124" ht="47.25" hidden="1" customHeight="1" x14ac:dyDescent="0.3">
      <c r="A1216" s="143" t="s">
        <v>264</v>
      </c>
      <c r="B1216" s="13">
        <v>936</v>
      </c>
      <c r="C1216" s="14" t="s">
        <v>123</v>
      </c>
      <c r="D1216" s="14" t="s">
        <v>117</v>
      </c>
      <c r="E1216" s="44" t="s">
        <v>836</v>
      </c>
      <c r="F1216" s="14" t="s">
        <v>261</v>
      </c>
      <c r="G1216" s="57">
        <v>0</v>
      </c>
      <c r="H1216" s="116"/>
      <c r="I1216" s="117"/>
      <c r="J1216" s="116"/>
      <c r="K1216" s="80"/>
      <c r="L1216" s="79"/>
      <c r="M1216" s="79"/>
      <c r="AG1216" s="79"/>
      <c r="AH1216" s="79"/>
      <c r="DT1216" s="99">
        <f t="shared" si="20"/>
        <v>0</v>
      </c>
    </row>
    <row r="1217" spans="1:124" ht="47.25" customHeight="1" x14ac:dyDescent="0.3">
      <c r="A1217" s="219" t="s">
        <v>344</v>
      </c>
      <c r="B1217" s="41" t="s">
        <v>285</v>
      </c>
      <c r="C1217" s="41" t="s">
        <v>123</v>
      </c>
      <c r="D1217" s="95" t="s">
        <v>209</v>
      </c>
      <c r="E1217" s="74" t="s">
        <v>49</v>
      </c>
      <c r="F1217" s="41" t="s">
        <v>50</v>
      </c>
      <c r="G1217" s="68">
        <f>G1228</f>
        <v>88.22</v>
      </c>
      <c r="H1217" s="116"/>
      <c r="I1217" s="117"/>
      <c r="J1217" s="116"/>
      <c r="K1217" s="80"/>
      <c r="L1217" s="79"/>
      <c r="M1217" s="79"/>
      <c r="AG1217" s="79"/>
      <c r="AH1217" s="79"/>
      <c r="DT1217" s="99">
        <f t="shared" si="20"/>
        <v>0</v>
      </c>
    </row>
    <row r="1218" spans="1:124" ht="47.25" hidden="1" customHeight="1" x14ac:dyDescent="0.3">
      <c r="A1218" s="143" t="s">
        <v>38</v>
      </c>
      <c r="B1218" s="44" t="s">
        <v>285</v>
      </c>
      <c r="C1218" s="44" t="s">
        <v>123</v>
      </c>
      <c r="D1218" s="92" t="s">
        <v>209</v>
      </c>
      <c r="E1218" s="15" t="s">
        <v>25</v>
      </c>
      <c r="F1218" s="14" t="s">
        <v>50</v>
      </c>
      <c r="G1218" s="57">
        <f>G1219</f>
        <v>0</v>
      </c>
      <c r="H1218" s="116"/>
      <c r="I1218" s="117"/>
      <c r="J1218" s="116"/>
      <c r="K1218" s="80"/>
      <c r="L1218" s="79"/>
      <c r="M1218" s="79"/>
      <c r="AG1218" s="79"/>
      <c r="AH1218" s="79"/>
      <c r="DT1218" s="99">
        <f t="shared" si="20"/>
        <v>0</v>
      </c>
    </row>
    <row r="1219" spans="1:124" ht="47.25" hidden="1" customHeight="1" x14ac:dyDescent="0.3">
      <c r="A1219" s="156" t="s">
        <v>161</v>
      </c>
      <c r="B1219" s="14" t="s">
        <v>285</v>
      </c>
      <c r="C1219" s="14" t="s">
        <v>123</v>
      </c>
      <c r="D1219" s="14" t="s">
        <v>117</v>
      </c>
      <c r="E1219" s="15" t="s">
        <v>99</v>
      </c>
      <c r="F1219" s="14" t="s">
        <v>50</v>
      </c>
      <c r="G1219" s="57">
        <f>G1220</f>
        <v>0</v>
      </c>
      <c r="H1219" s="116"/>
      <c r="I1219" s="117"/>
      <c r="J1219" s="116"/>
      <c r="K1219" s="80"/>
      <c r="L1219" s="79"/>
      <c r="M1219" s="79"/>
      <c r="AG1219" s="79"/>
      <c r="AH1219" s="79"/>
      <c r="DT1219" s="99">
        <f t="shared" si="20"/>
        <v>0</v>
      </c>
    </row>
    <row r="1220" spans="1:124" ht="43.5" hidden="1" customHeight="1" x14ac:dyDescent="0.3">
      <c r="A1220" s="156" t="s">
        <v>11</v>
      </c>
      <c r="B1220" s="14" t="s">
        <v>285</v>
      </c>
      <c r="C1220" s="14" t="s">
        <v>123</v>
      </c>
      <c r="D1220" s="14" t="s">
        <v>117</v>
      </c>
      <c r="E1220" s="15" t="s">
        <v>29</v>
      </c>
      <c r="F1220" s="14" t="s">
        <v>50</v>
      </c>
      <c r="G1220" s="57">
        <f>G1221</f>
        <v>0</v>
      </c>
      <c r="H1220" s="116"/>
      <c r="I1220" s="117"/>
      <c r="J1220" s="116"/>
      <c r="K1220" s="80"/>
      <c r="L1220" s="79"/>
      <c r="M1220" s="79"/>
      <c r="AG1220" s="79"/>
      <c r="AH1220" s="79"/>
      <c r="DT1220" s="99">
        <f t="shared" si="20"/>
        <v>0</v>
      </c>
    </row>
    <row r="1221" spans="1:124" ht="75" hidden="1" x14ac:dyDescent="0.3">
      <c r="A1221" s="156" t="s">
        <v>249</v>
      </c>
      <c r="B1221" s="14" t="s">
        <v>285</v>
      </c>
      <c r="C1221" s="14" t="s">
        <v>123</v>
      </c>
      <c r="D1221" s="14" t="s">
        <v>117</v>
      </c>
      <c r="E1221" s="15" t="s">
        <v>254</v>
      </c>
      <c r="F1221" s="14" t="s">
        <v>50</v>
      </c>
      <c r="G1221" s="57">
        <f>G1222</f>
        <v>0</v>
      </c>
      <c r="H1221" s="116"/>
      <c r="I1221" s="117"/>
      <c r="J1221" s="116"/>
      <c r="K1221" s="80"/>
      <c r="L1221" s="79"/>
      <c r="M1221" s="79"/>
      <c r="AG1221" s="79"/>
      <c r="AH1221" s="79"/>
      <c r="DT1221" s="99">
        <f t="shared" si="20"/>
        <v>0</v>
      </c>
    </row>
    <row r="1222" spans="1:124" ht="72.75" hidden="1" customHeight="1" x14ac:dyDescent="0.3">
      <c r="A1222" s="143" t="s">
        <v>253</v>
      </c>
      <c r="B1222" s="13">
        <v>936</v>
      </c>
      <c r="C1222" s="14" t="s">
        <v>123</v>
      </c>
      <c r="D1222" s="14" t="s">
        <v>117</v>
      </c>
      <c r="E1222" s="14" t="s">
        <v>255</v>
      </c>
      <c r="F1222" s="14" t="s">
        <v>50</v>
      </c>
      <c r="G1222" s="57">
        <f>G1223</f>
        <v>0</v>
      </c>
      <c r="H1222" s="116"/>
      <c r="I1222" s="117"/>
      <c r="J1222" s="116"/>
      <c r="K1222" s="80"/>
      <c r="L1222" s="79"/>
      <c r="M1222" s="79"/>
      <c r="AG1222" s="79"/>
      <c r="AH1222" s="79"/>
      <c r="DT1222" s="99">
        <f t="shared" si="20"/>
        <v>0</v>
      </c>
    </row>
    <row r="1223" spans="1:124" ht="56.25" hidden="1" x14ac:dyDescent="0.3">
      <c r="A1223" s="143" t="s">
        <v>264</v>
      </c>
      <c r="B1223" s="13">
        <v>936</v>
      </c>
      <c r="C1223" s="14" t="s">
        <v>123</v>
      </c>
      <c r="D1223" s="14" t="s">
        <v>117</v>
      </c>
      <c r="E1223" s="14" t="s">
        <v>255</v>
      </c>
      <c r="F1223" s="14" t="s">
        <v>261</v>
      </c>
      <c r="G1223" s="57">
        <v>0</v>
      </c>
      <c r="H1223" s="116"/>
      <c r="I1223" s="117"/>
      <c r="J1223" s="116"/>
      <c r="K1223" s="80"/>
      <c r="L1223" s="79"/>
      <c r="M1223" s="79"/>
      <c r="AG1223" s="79"/>
      <c r="AH1223" s="79"/>
      <c r="DT1223" s="99">
        <f t="shared" si="20"/>
        <v>0</v>
      </c>
    </row>
    <row r="1224" spans="1:124" ht="69" hidden="1" customHeight="1" x14ac:dyDescent="0.3">
      <c r="A1224" s="156" t="s">
        <v>138</v>
      </c>
      <c r="B1224" s="44" t="s">
        <v>285</v>
      </c>
      <c r="C1224" s="44" t="s">
        <v>123</v>
      </c>
      <c r="D1224" s="92" t="s">
        <v>209</v>
      </c>
      <c r="E1224" s="15" t="s">
        <v>51</v>
      </c>
      <c r="F1224" s="14" t="s">
        <v>50</v>
      </c>
      <c r="G1224" s="57">
        <f>G1225</f>
        <v>0</v>
      </c>
      <c r="H1224" s="116"/>
      <c r="I1224" s="117"/>
      <c r="J1224" s="116"/>
      <c r="K1224" s="80"/>
      <c r="L1224" s="79"/>
      <c r="M1224" s="79"/>
      <c r="AG1224" s="79"/>
      <c r="AH1224" s="79"/>
      <c r="DT1224" s="99">
        <f t="shared" si="20"/>
        <v>0</v>
      </c>
    </row>
    <row r="1225" spans="1:124" ht="45.75" hidden="1" customHeight="1" x14ac:dyDescent="0.3">
      <c r="A1225" s="143" t="s">
        <v>68</v>
      </c>
      <c r="B1225" s="13">
        <v>936</v>
      </c>
      <c r="C1225" s="44" t="s">
        <v>123</v>
      </c>
      <c r="D1225" s="92" t="s">
        <v>209</v>
      </c>
      <c r="E1225" s="14" t="s">
        <v>69</v>
      </c>
      <c r="F1225" s="14" t="s">
        <v>50</v>
      </c>
      <c r="G1225" s="57">
        <f>G1226</f>
        <v>0</v>
      </c>
      <c r="H1225" s="116"/>
      <c r="I1225" s="117"/>
      <c r="J1225" s="116"/>
      <c r="K1225" s="80"/>
      <c r="L1225" s="79"/>
      <c r="M1225" s="79"/>
      <c r="AG1225" s="79"/>
      <c r="AH1225" s="79"/>
      <c r="DT1225" s="99">
        <f t="shared" si="20"/>
        <v>0</v>
      </c>
    </row>
    <row r="1226" spans="1:124" ht="92.25" hidden="1" customHeight="1" x14ac:dyDescent="0.3">
      <c r="A1226" s="143" t="s">
        <v>76</v>
      </c>
      <c r="B1226" s="13">
        <v>936</v>
      </c>
      <c r="C1226" s="44" t="s">
        <v>123</v>
      </c>
      <c r="D1226" s="92" t="s">
        <v>209</v>
      </c>
      <c r="E1226" s="14" t="s">
        <v>41</v>
      </c>
      <c r="F1226" s="14" t="s">
        <v>50</v>
      </c>
      <c r="G1226" s="57">
        <f>G1227</f>
        <v>0</v>
      </c>
      <c r="H1226" s="116"/>
      <c r="I1226" s="117"/>
      <c r="J1226" s="116"/>
      <c r="K1226" s="80"/>
      <c r="L1226" s="79"/>
      <c r="M1226" s="79"/>
      <c r="AG1226" s="79"/>
      <c r="AH1226" s="79"/>
      <c r="DT1226" s="99">
        <f t="shared" si="20"/>
        <v>0</v>
      </c>
    </row>
    <row r="1227" spans="1:124" ht="68.25" hidden="1" customHeight="1" x14ac:dyDescent="0.3">
      <c r="A1227" s="143" t="s">
        <v>264</v>
      </c>
      <c r="B1227" s="13">
        <v>936</v>
      </c>
      <c r="C1227" s="44" t="s">
        <v>123</v>
      </c>
      <c r="D1227" s="92" t="s">
        <v>209</v>
      </c>
      <c r="E1227" s="14" t="s">
        <v>41</v>
      </c>
      <c r="F1227" s="14" t="s">
        <v>261</v>
      </c>
      <c r="G1227" s="57">
        <v>0</v>
      </c>
      <c r="H1227" s="116"/>
      <c r="I1227" s="117"/>
      <c r="J1227" s="116"/>
      <c r="K1227" s="80"/>
      <c r="L1227" s="79"/>
      <c r="M1227" s="79"/>
      <c r="AG1227" s="79"/>
      <c r="AH1227" s="79"/>
      <c r="DT1227" s="99">
        <f t="shared" si="20"/>
        <v>0</v>
      </c>
    </row>
    <row r="1228" spans="1:124" ht="69.75" customHeight="1" x14ac:dyDescent="0.3">
      <c r="A1228" s="208" t="s">
        <v>16</v>
      </c>
      <c r="B1228" s="13">
        <v>936</v>
      </c>
      <c r="C1228" s="44" t="s">
        <v>123</v>
      </c>
      <c r="D1228" s="92" t="s">
        <v>209</v>
      </c>
      <c r="E1228" s="15" t="s">
        <v>32</v>
      </c>
      <c r="F1228" s="15" t="s">
        <v>50</v>
      </c>
      <c r="G1228" s="57">
        <f>G1229+G1235+G1244</f>
        <v>88.22</v>
      </c>
      <c r="H1228" s="116"/>
      <c r="I1228" s="117"/>
      <c r="J1228" s="116"/>
      <c r="K1228" s="80"/>
      <c r="L1228" s="79"/>
      <c r="M1228" s="79"/>
      <c r="AG1228" s="79"/>
      <c r="AH1228" s="79"/>
      <c r="DT1228" s="99">
        <f t="shared" si="20"/>
        <v>0</v>
      </c>
    </row>
    <row r="1229" spans="1:124" ht="51.75" customHeight="1" x14ac:dyDescent="0.3">
      <c r="A1229" s="162" t="s">
        <v>17</v>
      </c>
      <c r="B1229" s="13">
        <v>936</v>
      </c>
      <c r="C1229" s="44" t="s">
        <v>123</v>
      </c>
      <c r="D1229" s="92" t="s">
        <v>209</v>
      </c>
      <c r="E1229" s="15" t="s">
        <v>33</v>
      </c>
      <c r="F1229" s="20" t="s">
        <v>50</v>
      </c>
      <c r="G1229" s="57">
        <f>G1230+G1233</f>
        <v>88.22</v>
      </c>
      <c r="H1229" s="116"/>
      <c r="I1229" s="117"/>
      <c r="J1229" s="116"/>
      <c r="K1229" s="80"/>
      <c r="L1229" s="79"/>
      <c r="M1229" s="79"/>
      <c r="AG1229" s="79"/>
      <c r="AH1229" s="79"/>
      <c r="DT1229" s="99">
        <f t="shared" ref="DT1229:DT1292" si="21">DN1229+DO1229+DP1229+DQ1229+DR1229+DS1229</f>
        <v>0</v>
      </c>
    </row>
    <row r="1230" spans="1:124" ht="86.25" hidden="1" customHeight="1" x14ac:dyDescent="0.3">
      <c r="A1230" s="143" t="s">
        <v>249</v>
      </c>
      <c r="B1230" s="13">
        <v>936</v>
      </c>
      <c r="C1230" s="44" t="s">
        <v>123</v>
      </c>
      <c r="D1230" s="92" t="s">
        <v>209</v>
      </c>
      <c r="E1230" s="15" t="s">
        <v>851</v>
      </c>
      <c r="F1230" s="20" t="s">
        <v>50</v>
      </c>
      <c r="G1230" s="57">
        <f>G1231</f>
        <v>87.22</v>
      </c>
      <c r="H1230" s="116"/>
      <c r="I1230" s="117"/>
      <c r="J1230" s="116"/>
      <c r="K1230" s="80"/>
      <c r="L1230" s="79"/>
      <c r="M1230" s="79"/>
      <c r="AG1230" s="79"/>
      <c r="AH1230" s="79"/>
      <c r="DT1230" s="99">
        <f t="shared" si="21"/>
        <v>0</v>
      </c>
    </row>
    <row r="1231" spans="1:124" ht="72.75" customHeight="1" x14ac:dyDescent="0.3">
      <c r="A1231" s="143" t="s">
        <v>437</v>
      </c>
      <c r="B1231" s="13">
        <v>936</v>
      </c>
      <c r="C1231" s="44" t="s">
        <v>123</v>
      </c>
      <c r="D1231" s="92" t="s">
        <v>209</v>
      </c>
      <c r="E1231" s="15" t="s">
        <v>1188</v>
      </c>
      <c r="F1231" s="20" t="s">
        <v>50</v>
      </c>
      <c r="G1231" s="57">
        <f>G1232</f>
        <v>87.22</v>
      </c>
      <c r="H1231" s="116"/>
      <c r="I1231" s="117"/>
      <c r="J1231" s="116"/>
      <c r="K1231" s="80"/>
      <c r="L1231" s="79"/>
      <c r="M1231" s="79"/>
      <c r="AG1231" s="79"/>
      <c r="AH1231" s="79"/>
      <c r="DT1231" s="99">
        <f t="shared" si="21"/>
        <v>0</v>
      </c>
    </row>
    <row r="1232" spans="1:124" ht="45.75" customHeight="1" x14ac:dyDescent="0.3">
      <c r="A1232" s="143" t="s">
        <v>425</v>
      </c>
      <c r="B1232" s="13">
        <v>936</v>
      </c>
      <c r="C1232" s="44" t="s">
        <v>123</v>
      </c>
      <c r="D1232" s="92" t="s">
        <v>209</v>
      </c>
      <c r="E1232" s="15" t="s">
        <v>1188</v>
      </c>
      <c r="F1232" s="20" t="s">
        <v>59</v>
      </c>
      <c r="G1232" s="57">
        <f>DT1232</f>
        <v>87.22</v>
      </c>
      <c r="H1232" s="116"/>
      <c r="I1232" s="117">
        <v>6.2</v>
      </c>
      <c r="J1232" s="116"/>
      <c r="K1232" s="80"/>
      <c r="L1232" s="79"/>
      <c r="M1232" s="79"/>
      <c r="T1232">
        <v>2.7719999999999998</v>
      </c>
      <c r="AG1232" s="79"/>
      <c r="AH1232" s="79"/>
      <c r="AK1232" s="79">
        <v>11</v>
      </c>
      <c r="BH1232" s="233">
        <v>-3.3000000000000002E-2</v>
      </c>
      <c r="BO1232" s="238">
        <v>15.2</v>
      </c>
      <c r="CQ1232" s="99">
        <v>90.09</v>
      </c>
      <c r="DN1232" s="274">
        <v>87.22</v>
      </c>
      <c r="DT1232" s="99">
        <f t="shared" si="21"/>
        <v>87.22</v>
      </c>
    </row>
    <row r="1233" spans="1:124" ht="108.75" customHeight="1" x14ac:dyDescent="0.3">
      <c r="A1233" s="143" t="s">
        <v>442</v>
      </c>
      <c r="B1233" s="13">
        <v>936</v>
      </c>
      <c r="C1233" s="44" t="s">
        <v>123</v>
      </c>
      <c r="D1233" s="92" t="s">
        <v>209</v>
      </c>
      <c r="E1233" s="15" t="s">
        <v>1189</v>
      </c>
      <c r="F1233" s="20" t="s">
        <v>50</v>
      </c>
      <c r="G1233" s="57">
        <f>G1234</f>
        <v>1</v>
      </c>
      <c r="H1233" s="116"/>
      <c r="I1233" s="117"/>
      <c r="J1233" s="116"/>
      <c r="K1233" s="80"/>
      <c r="L1233" s="79"/>
      <c r="M1233" s="79"/>
      <c r="AG1233" s="79"/>
      <c r="AH1233" s="79"/>
      <c r="DT1233" s="99">
        <f t="shared" si="21"/>
        <v>0</v>
      </c>
    </row>
    <row r="1234" spans="1:124" ht="58.5" customHeight="1" x14ac:dyDescent="0.3">
      <c r="A1234" s="143" t="s">
        <v>425</v>
      </c>
      <c r="B1234" s="13">
        <v>936</v>
      </c>
      <c r="C1234" s="44" t="s">
        <v>123</v>
      </c>
      <c r="D1234" s="92" t="s">
        <v>209</v>
      </c>
      <c r="E1234" s="15" t="s">
        <v>1189</v>
      </c>
      <c r="F1234" s="20" t="s">
        <v>59</v>
      </c>
      <c r="G1234" s="72">
        <f>DT1234</f>
        <v>1</v>
      </c>
      <c r="H1234" s="116"/>
      <c r="I1234" s="117"/>
      <c r="J1234" s="116">
        <v>0.1</v>
      </c>
      <c r="K1234" s="80"/>
      <c r="L1234" s="79"/>
      <c r="M1234" s="79"/>
      <c r="T1234">
        <v>2.8000000000000001E-2</v>
      </c>
      <c r="AG1234" s="79"/>
      <c r="AH1234" s="79"/>
      <c r="AK1234" s="79">
        <v>0.2</v>
      </c>
      <c r="BP1234" s="239">
        <v>0.15</v>
      </c>
      <c r="CQ1234" s="99">
        <v>1</v>
      </c>
      <c r="DN1234" s="274">
        <v>1</v>
      </c>
      <c r="DT1234" s="99">
        <f t="shared" si="21"/>
        <v>1</v>
      </c>
    </row>
    <row r="1235" spans="1:124" ht="45.75" hidden="1" customHeight="1" x14ac:dyDescent="0.3">
      <c r="A1235" s="162" t="s">
        <v>18</v>
      </c>
      <c r="B1235" s="13">
        <v>936</v>
      </c>
      <c r="C1235" s="44" t="s">
        <v>123</v>
      </c>
      <c r="D1235" s="92" t="s">
        <v>209</v>
      </c>
      <c r="E1235" s="15" t="s">
        <v>34</v>
      </c>
      <c r="F1235" s="20" t="s">
        <v>50</v>
      </c>
      <c r="G1235" s="57">
        <f>G1239+G1242+G1236+G1278</f>
        <v>0</v>
      </c>
      <c r="H1235" s="116"/>
      <c r="I1235" s="117"/>
      <c r="J1235" s="116"/>
      <c r="K1235" s="80"/>
      <c r="L1235" s="79"/>
      <c r="M1235" s="79"/>
      <c r="AG1235" s="79"/>
      <c r="AH1235" s="79"/>
      <c r="DT1235" s="99">
        <f t="shared" si="21"/>
        <v>0</v>
      </c>
    </row>
    <row r="1236" spans="1:124" ht="33.75" hidden="1" customHeight="1" x14ac:dyDescent="0.3">
      <c r="A1236" s="143" t="s">
        <v>62</v>
      </c>
      <c r="B1236" s="13">
        <v>936</v>
      </c>
      <c r="C1236" s="44" t="s">
        <v>123</v>
      </c>
      <c r="D1236" s="92" t="s">
        <v>209</v>
      </c>
      <c r="E1236" s="15" t="s">
        <v>350</v>
      </c>
      <c r="F1236" s="20" t="s">
        <v>50</v>
      </c>
      <c r="G1236" s="57">
        <f>G1237</f>
        <v>0</v>
      </c>
      <c r="H1236" s="116"/>
      <c r="I1236" s="117"/>
      <c r="J1236" s="116"/>
      <c r="K1236" s="80"/>
      <c r="L1236" s="79"/>
      <c r="M1236" s="79"/>
      <c r="AG1236" s="79"/>
      <c r="AH1236" s="79"/>
      <c r="DT1236" s="99">
        <f t="shared" si="21"/>
        <v>0</v>
      </c>
    </row>
    <row r="1237" spans="1:124" ht="45.75" hidden="1" customHeight="1" x14ac:dyDescent="0.3">
      <c r="A1237" s="163" t="s">
        <v>433</v>
      </c>
      <c r="B1237" s="13">
        <v>936</v>
      </c>
      <c r="C1237" s="44" t="s">
        <v>123</v>
      </c>
      <c r="D1237" s="92" t="s">
        <v>209</v>
      </c>
      <c r="E1237" s="15" t="s">
        <v>434</v>
      </c>
      <c r="F1237" s="20" t="s">
        <v>50</v>
      </c>
      <c r="G1237" s="57">
        <f>G1238</f>
        <v>0</v>
      </c>
      <c r="H1237" s="116"/>
      <c r="I1237" s="117"/>
      <c r="J1237" s="116"/>
      <c r="K1237" s="80"/>
      <c r="L1237" s="79"/>
      <c r="M1237" s="79"/>
      <c r="AG1237" s="79"/>
      <c r="AH1237" s="79"/>
      <c r="DT1237" s="99">
        <f t="shared" si="21"/>
        <v>0</v>
      </c>
    </row>
    <row r="1238" spans="1:124" ht="45.75" hidden="1" customHeight="1" x14ac:dyDescent="0.3">
      <c r="A1238" s="143" t="s">
        <v>425</v>
      </c>
      <c r="B1238" s="13">
        <v>936</v>
      </c>
      <c r="C1238" s="44" t="s">
        <v>123</v>
      </c>
      <c r="D1238" s="92" t="s">
        <v>209</v>
      </c>
      <c r="E1238" s="15" t="s">
        <v>434</v>
      </c>
      <c r="F1238" s="20" t="s">
        <v>59</v>
      </c>
      <c r="G1238" s="57">
        <v>0</v>
      </c>
      <c r="H1238" s="116"/>
      <c r="I1238" s="117"/>
      <c r="J1238" s="116"/>
      <c r="K1238" s="80"/>
      <c r="L1238" s="79"/>
      <c r="M1238" s="79"/>
      <c r="AG1238" s="79"/>
      <c r="AH1238" s="79"/>
      <c r="DT1238" s="99">
        <f t="shared" si="21"/>
        <v>0</v>
      </c>
    </row>
    <row r="1239" spans="1:124" ht="75" hidden="1" customHeight="1" x14ac:dyDescent="0.3">
      <c r="A1239" s="143" t="s">
        <v>249</v>
      </c>
      <c r="B1239" s="13">
        <v>936</v>
      </c>
      <c r="C1239" s="44" t="s">
        <v>123</v>
      </c>
      <c r="D1239" s="92" t="s">
        <v>209</v>
      </c>
      <c r="E1239" s="15" t="s">
        <v>851</v>
      </c>
      <c r="F1239" s="20" t="s">
        <v>50</v>
      </c>
      <c r="G1239" s="57">
        <f>G1240</f>
        <v>0</v>
      </c>
      <c r="H1239" s="116"/>
      <c r="I1239" s="117"/>
      <c r="J1239" s="116"/>
      <c r="K1239" s="80"/>
      <c r="L1239" s="79"/>
      <c r="M1239" s="79"/>
      <c r="AG1239" s="79"/>
      <c r="AH1239" s="79"/>
      <c r="DT1239" s="99">
        <f t="shared" si="21"/>
        <v>0</v>
      </c>
    </row>
    <row r="1240" spans="1:124" ht="74.25" hidden="1" customHeight="1" x14ac:dyDescent="0.3">
      <c r="A1240" s="143" t="s">
        <v>437</v>
      </c>
      <c r="B1240" s="13">
        <v>936</v>
      </c>
      <c r="C1240" s="44" t="s">
        <v>123</v>
      </c>
      <c r="D1240" s="92" t="s">
        <v>209</v>
      </c>
      <c r="E1240" s="15" t="s">
        <v>852</v>
      </c>
      <c r="F1240" s="20" t="s">
        <v>50</v>
      </c>
      <c r="G1240" s="57">
        <f>G1241</f>
        <v>0</v>
      </c>
      <c r="H1240" s="116"/>
      <c r="I1240" s="117"/>
      <c r="J1240" s="116"/>
      <c r="K1240" s="80"/>
      <c r="L1240" s="79"/>
      <c r="M1240" s="79"/>
      <c r="AG1240" s="79"/>
      <c r="AH1240" s="79"/>
      <c r="DT1240" s="99">
        <f t="shared" si="21"/>
        <v>0</v>
      </c>
    </row>
    <row r="1241" spans="1:124" ht="45.75" hidden="1" customHeight="1" x14ac:dyDescent="0.3">
      <c r="A1241" s="143" t="s">
        <v>425</v>
      </c>
      <c r="B1241" s="13">
        <v>936</v>
      </c>
      <c r="C1241" s="44" t="s">
        <v>123</v>
      </c>
      <c r="D1241" s="92" t="s">
        <v>209</v>
      </c>
      <c r="E1241" s="15" t="s">
        <v>852</v>
      </c>
      <c r="F1241" s="20" t="s">
        <v>59</v>
      </c>
      <c r="G1241" s="57">
        <v>0</v>
      </c>
      <c r="H1241" s="116"/>
      <c r="I1241" s="136">
        <v>46.18</v>
      </c>
      <c r="J1241" s="116"/>
      <c r="K1241" s="80"/>
      <c r="L1241" s="79"/>
      <c r="M1241" s="79"/>
      <c r="T1241">
        <f>-0.03-2.772</f>
        <v>-2.8019999999999996</v>
      </c>
      <c r="AG1241" s="79"/>
      <c r="AH1241" s="79"/>
      <c r="AK1241" s="79">
        <v>43.95</v>
      </c>
      <c r="BH1241" s="233">
        <v>3.3000000000000002E-2</v>
      </c>
      <c r="BO1241" s="238">
        <v>64.7</v>
      </c>
      <c r="DT1241" s="99">
        <f t="shared" si="21"/>
        <v>0</v>
      </c>
    </row>
    <row r="1242" spans="1:124" ht="111" hidden="1" customHeight="1" x14ac:dyDescent="0.3">
      <c r="A1242" s="143" t="s">
        <v>442</v>
      </c>
      <c r="B1242" s="13">
        <v>936</v>
      </c>
      <c r="C1242" s="44" t="s">
        <v>123</v>
      </c>
      <c r="D1242" s="92" t="s">
        <v>209</v>
      </c>
      <c r="E1242" s="15" t="s">
        <v>853</v>
      </c>
      <c r="F1242" s="20" t="s">
        <v>50</v>
      </c>
      <c r="G1242" s="57">
        <f>G1243</f>
        <v>0</v>
      </c>
      <c r="H1242" s="116"/>
      <c r="I1242" s="117"/>
      <c r="J1242" s="116"/>
      <c r="K1242" s="80"/>
      <c r="L1242" s="79"/>
      <c r="M1242" s="79"/>
      <c r="AG1242" s="79"/>
      <c r="AH1242" s="79"/>
      <c r="DT1242" s="99">
        <f t="shared" si="21"/>
        <v>0</v>
      </c>
    </row>
    <row r="1243" spans="1:124" ht="41.25" hidden="1" customHeight="1" x14ac:dyDescent="0.3">
      <c r="A1243" s="143" t="s">
        <v>425</v>
      </c>
      <c r="B1243" s="13">
        <v>936</v>
      </c>
      <c r="C1243" s="44" t="s">
        <v>123</v>
      </c>
      <c r="D1243" s="92" t="s">
        <v>209</v>
      </c>
      <c r="E1243" s="15" t="s">
        <v>853</v>
      </c>
      <c r="F1243" s="20" t="s">
        <v>59</v>
      </c>
      <c r="G1243" s="72">
        <v>0</v>
      </c>
      <c r="H1243" s="116"/>
      <c r="I1243" s="117"/>
      <c r="J1243" s="116">
        <v>0.5</v>
      </c>
      <c r="K1243" s="80"/>
      <c r="L1243" s="79"/>
      <c r="M1243" s="79"/>
      <c r="T1243">
        <f>0.02-0.028</f>
        <v>-8.0000000000000002E-3</v>
      </c>
      <c r="AG1243" s="79"/>
      <c r="AH1243" s="79"/>
      <c r="AK1243" s="79">
        <v>0.5</v>
      </c>
      <c r="BP1243" s="239">
        <v>0.65</v>
      </c>
      <c r="DT1243" s="99">
        <f t="shared" si="21"/>
        <v>0</v>
      </c>
    </row>
    <row r="1244" spans="1:124" ht="92.25" hidden="1" customHeight="1" x14ac:dyDescent="0.3">
      <c r="A1244" s="143" t="s">
        <v>56</v>
      </c>
      <c r="B1244" s="13">
        <v>936</v>
      </c>
      <c r="C1244" s="44" t="s">
        <v>123</v>
      </c>
      <c r="D1244" s="257" t="s">
        <v>209</v>
      </c>
      <c r="E1244" s="15" t="s">
        <v>37</v>
      </c>
      <c r="F1244" s="15" t="s">
        <v>50</v>
      </c>
      <c r="G1244" s="72">
        <f>G1245</f>
        <v>0</v>
      </c>
      <c r="H1244" s="116"/>
      <c r="I1244" s="117"/>
      <c r="J1244" s="116"/>
      <c r="K1244" s="80"/>
      <c r="L1244" s="79"/>
      <c r="M1244" s="79"/>
      <c r="AG1244" s="79"/>
      <c r="AH1244" s="79"/>
      <c r="DT1244" s="99">
        <f t="shared" si="21"/>
        <v>0</v>
      </c>
    </row>
    <row r="1245" spans="1:124" ht="41.25" hidden="1" customHeight="1" x14ac:dyDescent="0.3">
      <c r="A1245" s="143" t="s">
        <v>425</v>
      </c>
      <c r="B1245" s="13">
        <v>936</v>
      </c>
      <c r="C1245" s="44" t="s">
        <v>123</v>
      </c>
      <c r="D1245" s="257" t="s">
        <v>209</v>
      </c>
      <c r="E1245" s="15" t="s">
        <v>37</v>
      </c>
      <c r="F1245" s="14" t="s">
        <v>59</v>
      </c>
      <c r="G1245" s="72">
        <v>0</v>
      </c>
      <c r="H1245" s="116"/>
      <c r="I1245" s="117"/>
      <c r="J1245" s="116"/>
      <c r="K1245" s="80"/>
      <c r="L1245" s="79"/>
      <c r="M1245" s="79"/>
      <c r="AG1245" s="79"/>
      <c r="AH1245" s="79"/>
      <c r="CF1245" s="194">
        <v>5.5</v>
      </c>
      <c r="CJ1245" s="194">
        <v>31</v>
      </c>
      <c r="CL1245" s="194">
        <v>20</v>
      </c>
      <c r="CV1245" s="268">
        <v>40</v>
      </c>
      <c r="DJ1245" s="194">
        <v>8</v>
      </c>
      <c r="DT1245" s="99">
        <f t="shared" si="21"/>
        <v>0</v>
      </c>
    </row>
    <row r="1246" spans="1:124" ht="28.5" hidden="1" customHeight="1" x14ac:dyDescent="0.3">
      <c r="A1246" s="155" t="s">
        <v>147</v>
      </c>
      <c r="B1246" s="9" t="s">
        <v>285</v>
      </c>
      <c r="C1246" s="9" t="s">
        <v>123</v>
      </c>
      <c r="D1246" s="19" t="s">
        <v>123</v>
      </c>
      <c r="E1246" s="12" t="s">
        <v>49</v>
      </c>
      <c r="F1246" s="9" t="s">
        <v>50</v>
      </c>
      <c r="G1246" s="68">
        <f>G1247+G1273</f>
        <v>0</v>
      </c>
      <c r="H1246" s="116"/>
      <c r="I1246" s="117"/>
      <c r="J1246" s="116"/>
      <c r="K1246" s="80"/>
      <c r="L1246" s="79"/>
      <c r="M1246" s="79"/>
      <c r="AG1246" s="79"/>
      <c r="AH1246" s="79"/>
      <c r="DT1246" s="99">
        <f t="shared" si="21"/>
        <v>0</v>
      </c>
    </row>
    <row r="1247" spans="1:124" ht="62.25" hidden="1" customHeight="1" x14ac:dyDescent="0.3">
      <c r="A1247" s="143" t="s">
        <v>38</v>
      </c>
      <c r="B1247" s="14" t="s">
        <v>285</v>
      </c>
      <c r="C1247" s="14" t="s">
        <v>123</v>
      </c>
      <c r="D1247" s="6" t="s">
        <v>123</v>
      </c>
      <c r="E1247" s="15" t="s">
        <v>400</v>
      </c>
      <c r="F1247" s="14" t="s">
        <v>50</v>
      </c>
      <c r="G1247" s="57">
        <f>G1248+G1270+G1272</f>
        <v>0</v>
      </c>
      <c r="H1247" s="116"/>
      <c r="I1247" s="117"/>
      <c r="J1247" s="116"/>
      <c r="K1247" s="80"/>
      <c r="L1247" s="79"/>
      <c r="M1247" s="79"/>
      <c r="AG1247" s="79"/>
      <c r="AH1247" s="79"/>
      <c r="DT1247" s="99">
        <f t="shared" si="21"/>
        <v>0</v>
      </c>
    </row>
    <row r="1248" spans="1:124" ht="70.5" hidden="1" customHeight="1" outlineLevel="1" x14ac:dyDescent="0.3">
      <c r="A1248" s="156" t="s">
        <v>140</v>
      </c>
      <c r="B1248" s="14">
        <v>936</v>
      </c>
      <c r="C1248" s="14" t="s">
        <v>123</v>
      </c>
      <c r="D1248" s="6" t="s">
        <v>123</v>
      </c>
      <c r="E1248" s="15" t="s">
        <v>77</v>
      </c>
      <c r="F1248" s="14" t="s">
        <v>50</v>
      </c>
      <c r="G1248" s="57">
        <f>G1259+G1264+G1256+G1249</f>
        <v>0</v>
      </c>
      <c r="H1248" s="116"/>
      <c r="I1248" s="117"/>
      <c r="J1248" s="116"/>
      <c r="K1248" s="80"/>
      <c r="L1248" s="79"/>
      <c r="M1248" s="79"/>
      <c r="AG1248" s="79"/>
      <c r="AH1248" s="79"/>
      <c r="DT1248" s="99">
        <f t="shared" si="21"/>
        <v>0</v>
      </c>
    </row>
    <row r="1249" spans="1:124" hidden="1" outlineLevel="1" x14ac:dyDescent="0.3">
      <c r="A1249" s="143" t="s">
        <v>62</v>
      </c>
      <c r="B1249" s="14">
        <v>936</v>
      </c>
      <c r="C1249" s="14" t="s">
        <v>123</v>
      </c>
      <c r="D1249" s="6" t="s">
        <v>123</v>
      </c>
      <c r="E1249" s="15" t="s">
        <v>152</v>
      </c>
      <c r="F1249" s="14" t="s">
        <v>50</v>
      </c>
      <c r="G1249" s="57">
        <f>G1260</f>
        <v>0</v>
      </c>
      <c r="H1249" s="116"/>
      <c r="I1249" s="117"/>
      <c r="J1249" s="116"/>
      <c r="K1249" s="80"/>
      <c r="L1249" s="79"/>
      <c r="M1249" s="79"/>
      <c r="AG1249" s="79"/>
      <c r="AH1249" s="79"/>
      <c r="DT1249" s="99">
        <f t="shared" si="21"/>
        <v>0</v>
      </c>
    </row>
    <row r="1250" spans="1:124" ht="41.25" hidden="1" customHeight="1" x14ac:dyDescent="0.3">
      <c r="A1250" s="143" t="s">
        <v>409</v>
      </c>
      <c r="B1250" s="13">
        <v>936</v>
      </c>
      <c r="C1250" s="14" t="s">
        <v>121</v>
      </c>
      <c r="D1250" s="6" t="s">
        <v>259</v>
      </c>
      <c r="E1250" s="14" t="s">
        <v>35</v>
      </c>
      <c r="F1250" s="14" t="s">
        <v>50</v>
      </c>
      <c r="G1250" s="57" t="e">
        <f>G1251+G1254+#REF!+G1267</f>
        <v>#REF!</v>
      </c>
      <c r="H1250" s="116"/>
      <c r="I1250" s="117"/>
      <c r="J1250" s="116"/>
      <c r="K1250" s="80"/>
      <c r="L1250" s="79"/>
      <c r="M1250" s="79"/>
      <c r="AG1250" s="79"/>
      <c r="AH1250" s="79"/>
      <c r="DT1250" s="99">
        <f t="shared" si="21"/>
        <v>0</v>
      </c>
    </row>
    <row r="1251" spans="1:124" hidden="1" outlineLevel="1" x14ac:dyDescent="0.3">
      <c r="A1251" s="143" t="s">
        <v>60</v>
      </c>
      <c r="B1251" s="13">
        <v>936</v>
      </c>
      <c r="C1251" s="14" t="s">
        <v>209</v>
      </c>
      <c r="D1251" s="14" t="s">
        <v>117</v>
      </c>
      <c r="E1251" s="14" t="s">
        <v>292</v>
      </c>
      <c r="F1251" s="14" t="s">
        <v>61</v>
      </c>
      <c r="G1251" s="57"/>
      <c r="H1251" s="116"/>
      <c r="I1251" s="117"/>
      <c r="J1251" s="116"/>
      <c r="K1251" s="80"/>
      <c r="L1251" s="79"/>
      <c r="M1251" s="79"/>
      <c r="AG1251" s="79"/>
      <c r="AH1251" s="79"/>
      <c r="DT1251" s="99">
        <f t="shared" si="21"/>
        <v>0</v>
      </c>
    </row>
    <row r="1252" spans="1:124" ht="56.25" hidden="1" outlineLevel="1" x14ac:dyDescent="0.3">
      <c r="A1252" s="143" t="s">
        <v>290</v>
      </c>
      <c r="B1252" s="13">
        <v>936</v>
      </c>
      <c r="C1252" s="14" t="s">
        <v>209</v>
      </c>
      <c r="D1252" s="14" t="s">
        <v>117</v>
      </c>
      <c r="E1252" s="14" t="s">
        <v>292</v>
      </c>
      <c r="F1252" s="14" t="s">
        <v>291</v>
      </c>
      <c r="G1252" s="57"/>
      <c r="H1252" s="116"/>
      <c r="I1252" s="117"/>
      <c r="J1252" s="116"/>
      <c r="K1252" s="80"/>
      <c r="L1252" s="79"/>
      <c r="M1252" s="79"/>
      <c r="AG1252" s="79"/>
      <c r="AH1252" s="79"/>
      <c r="DT1252" s="99">
        <f t="shared" si="21"/>
        <v>0</v>
      </c>
    </row>
    <row r="1253" spans="1:124" hidden="1" outlineLevel="1" x14ac:dyDescent="0.3">
      <c r="A1253" s="143" t="s">
        <v>528</v>
      </c>
      <c r="B1253" s="13">
        <v>936</v>
      </c>
      <c r="C1253" s="14" t="s">
        <v>121</v>
      </c>
      <c r="D1253" s="6" t="s">
        <v>259</v>
      </c>
      <c r="E1253" s="14" t="s">
        <v>527</v>
      </c>
      <c r="F1253" s="14" t="s">
        <v>50</v>
      </c>
      <c r="G1253" s="57"/>
      <c r="H1253" s="116"/>
      <c r="I1253" s="117"/>
      <c r="J1253" s="116"/>
      <c r="K1253" s="80"/>
      <c r="L1253" s="79"/>
      <c r="M1253" s="79"/>
      <c r="AG1253" s="79"/>
      <c r="AH1253" s="79"/>
      <c r="DT1253" s="99">
        <f t="shared" si="21"/>
        <v>0</v>
      </c>
    </row>
    <row r="1254" spans="1:124" ht="41.25" hidden="1" customHeight="1" outlineLevel="1" x14ac:dyDescent="0.3">
      <c r="A1254" s="143" t="s">
        <v>60</v>
      </c>
      <c r="B1254" s="13">
        <v>936</v>
      </c>
      <c r="C1254" s="14" t="s">
        <v>121</v>
      </c>
      <c r="D1254" s="6" t="s">
        <v>259</v>
      </c>
      <c r="E1254" s="14" t="s">
        <v>270</v>
      </c>
      <c r="F1254" s="14" t="s">
        <v>61</v>
      </c>
      <c r="G1254" s="57"/>
      <c r="H1254" s="116"/>
      <c r="I1254" s="117"/>
      <c r="J1254" s="116"/>
      <c r="K1254" s="80"/>
      <c r="L1254" s="79"/>
      <c r="M1254" s="79"/>
      <c r="AG1254" s="79"/>
      <c r="AH1254" s="79"/>
      <c r="DT1254" s="99">
        <f t="shared" si="21"/>
        <v>0</v>
      </c>
    </row>
    <row r="1255" spans="1:124" ht="56.25" hidden="1" x14ac:dyDescent="0.3">
      <c r="A1255" s="143" t="s">
        <v>264</v>
      </c>
      <c r="B1255" s="13">
        <v>936</v>
      </c>
      <c r="C1255" s="14" t="s">
        <v>123</v>
      </c>
      <c r="D1255" s="6" t="s">
        <v>123</v>
      </c>
      <c r="E1255" s="14" t="s">
        <v>455</v>
      </c>
      <c r="F1255" s="14" t="s">
        <v>261</v>
      </c>
      <c r="G1255" s="57">
        <v>0</v>
      </c>
      <c r="H1255" s="116"/>
      <c r="I1255" s="117"/>
      <c r="J1255" s="116"/>
      <c r="K1255" s="80"/>
      <c r="L1255" s="79"/>
      <c r="M1255" s="79"/>
      <c r="AG1255" s="79"/>
      <c r="AH1255" s="79"/>
      <c r="DT1255" s="99">
        <f t="shared" si="21"/>
        <v>0</v>
      </c>
    </row>
    <row r="1256" spans="1:124" hidden="1" x14ac:dyDescent="0.3">
      <c r="A1256" s="143" t="s">
        <v>62</v>
      </c>
      <c r="B1256" s="13">
        <v>905</v>
      </c>
      <c r="C1256" s="14" t="s">
        <v>123</v>
      </c>
      <c r="D1256" s="6" t="s">
        <v>123</v>
      </c>
      <c r="E1256" s="14" t="s">
        <v>152</v>
      </c>
      <c r="F1256" s="14" t="s">
        <v>50</v>
      </c>
      <c r="G1256" s="57">
        <f>G1257</f>
        <v>0</v>
      </c>
      <c r="H1256" s="116"/>
      <c r="I1256" s="117"/>
      <c r="J1256" s="116"/>
      <c r="K1256" s="80"/>
      <c r="L1256" s="79"/>
      <c r="M1256" s="79"/>
      <c r="AG1256" s="79"/>
      <c r="AH1256" s="79"/>
      <c r="DT1256" s="99">
        <f t="shared" si="21"/>
        <v>0</v>
      </c>
    </row>
    <row r="1257" spans="1:124" hidden="1" x14ac:dyDescent="0.3">
      <c r="A1257" s="143" t="s">
        <v>164</v>
      </c>
      <c r="B1257" s="13">
        <v>905</v>
      </c>
      <c r="C1257" s="14" t="s">
        <v>123</v>
      </c>
      <c r="D1257" s="6" t="s">
        <v>123</v>
      </c>
      <c r="E1257" s="14" t="s">
        <v>455</v>
      </c>
      <c r="F1257" s="14" t="s">
        <v>50</v>
      </c>
      <c r="G1257" s="57">
        <f>G1258</f>
        <v>0</v>
      </c>
      <c r="H1257" s="116"/>
      <c r="I1257" s="117"/>
      <c r="J1257" s="116"/>
      <c r="K1257" s="80"/>
      <c r="L1257" s="79"/>
      <c r="M1257" s="79"/>
      <c r="AG1257" s="79"/>
      <c r="AH1257" s="79"/>
      <c r="DT1257" s="99">
        <f t="shared" si="21"/>
        <v>0</v>
      </c>
    </row>
    <row r="1258" spans="1:124" ht="56.25" hidden="1" x14ac:dyDescent="0.3">
      <c r="A1258" s="143" t="s">
        <v>264</v>
      </c>
      <c r="B1258" s="13">
        <v>936</v>
      </c>
      <c r="C1258" s="14" t="s">
        <v>123</v>
      </c>
      <c r="D1258" s="6" t="s">
        <v>123</v>
      </c>
      <c r="E1258" s="14" t="s">
        <v>455</v>
      </c>
      <c r="F1258" s="14" t="s">
        <v>261</v>
      </c>
      <c r="G1258" s="57">
        <v>0</v>
      </c>
      <c r="H1258" s="116"/>
      <c r="I1258" s="117"/>
      <c r="J1258" s="116"/>
      <c r="K1258" s="80"/>
      <c r="L1258" s="79"/>
      <c r="M1258" s="79"/>
      <c r="U1258">
        <v>0.64</v>
      </c>
      <c r="AG1258" s="79"/>
      <c r="AH1258" s="79"/>
      <c r="AK1258" s="79">
        <v>0</v>
      </c>
      <c r="DT1258" s="99">
        <f t="shared" si="21"/>
        <v>0</v>
      </c>
    </row>
    <row r="1259" spans="1:124" ht="75" hidden="1" x14ac:dyDescent="0.3">
      <c r="A1259" s="143" t="s">
        <v>249</v>
      </c>
      <c r="B1259" s="13">
        <v>936</v>
      </c>
      <c r="C1259" s="14" t="s">
        <v>123</v>
      </c>
      <c r="D1259" s="6" t="s">
        <v>123</v>
      </c>
      <c r="E1259" s="14" t="s">
        <v>407</v>
      </c>
      <c r="F1259" s="14" t="s">
        <v>50</v>
      </c>
      <c r="G1259" s="57">
        <f>G1263</f>
        <v>0</v>
      </c>
      <c r="H1259" s="116"/>
      <c r="I1259" s="117"/>
      <c r="J1259" s="116"/>
      <c r="K1259" s="80"/>
      <c r="L1259" s="79"/>
      <c r="M1259" s="79"/>
      <c r="AG1259" s="79"/>
      <c r="AH1259" s="79"/>
      <c r="DT1259" s="99">
        <f t="shared" si="21"/>
        <v>0</v>
      </c>
    </row>
    <row r="1260" spans="1:124" hidden="1" x14ac:dyDescent="0.3">
      <c r="A1260" s="143" t="s">
        <v>311</v>
      </c>
      <c r="B1260" s="14">
        <v>936</v>
      </c>
      <c r="C1260" s="14" t="s">
        <v>123</v>
      </c>
      <c r="D1260" s="6" t="s">
        <v>123</v>
      </c>
      <c r="E1260" s="14" t="s">
        <v>758</v>
      </c>
      <c r="F1260" s="14" t="s">
        <v>50</v>
      </c>
      <c r="G1260" s="57">
        <f>G1261</f>
        <v>0</v>
      </c>
      <c r="H1260" s="116"/>
      <c r="I1260" s="117"/>
      <c r="J1260" s="116"/>
      <c r="K1260" s="80"/>
      <c r="L1260" s="79"/>
      <c r="M1260" s="79"/>
      <c r="AG1260" s="79"/>
      <c r="AH1260" s="79"/>
      <c r="DT1260" s="99">
        <f t="shared" si="21"/>
        <v>0</v>
      </c>
    </row>
    <row r="1261" spans="1:124" ht="56.25" hidden="1" x14ac:dyDescent="0.3">
      <c r="A1261" s="143" t="s">
        <v>264</v>
      </c>
      <c r="B1261" s="14">
        <v>936</v>
      </c>
      <c r="C1261" s="14" t="s">
        <v>123</v>
      </c>
      <c r="D1261" s="6" t="s">
        <v>123</v>
      </c>
      <c r="E1261" s="14" t="s">
        <v>758</v>
      </c>
      <c r="F1261" s="14" t="s">
        <v>261</v>
      </c>
      <c r="G1261" s="57">
        <v>0</v>
      </c>
      <c r="H1261" s="116"/>
      <c r="I1261" s="117"/>
      <c r="J1261" s="116"/>
      <c r="K1261" s="80"/>
      <c r="L1261" s="79"/>
      <c r="M1261" s="79"/>
      <c r="AG1261" s="79"/>
      <c r="AH1261" s="79"/>
      <c r="AX1261" s="101">
        <v>40.565910000000002</v>
      </c>
      <c r="CF1261" s="194">
        <v>45.981999999999999</v>
      </c>
      <c r="DT1261" s="99">
        <f t="shared" si="21"/>
        <v>0</v>
      </c>
    </row>
    <row r="1262" spans="1:124" ht="43.5" hidden="1" customHeight="1" x14ac:dyDescent="0.3">
      <c r="A1262" s="143" t="s">
        <v>301</v>
      </c>
      <c r="B1262" s="13">
        <v>936</v>
      </c>
      <c r="C1262" s="14" t="s">
        <v>123</v>
      </c>
      <c r="D1262" s="6" t="s">
        <v>123</v>
      </c>
      <c r="E1262" s="14" t="s">
        <v>850</v>
      </c>
      <c r="F1262" s="14" t="s">
        <v>50</v>
      </c>
      <c r="G1262" s="57">
        <f>G1263</f>
        <v>0</v>
      </c>
      <c r="H1262" s="116"/>
      <c r="I1262" s="117"/>
      <c r="J1262" s="116"/>
      <c r="K1262" s="80"/>
      <c r="L1262" s="79"/>
      <c r="M1262" s="79"/>
      <c r="AG1262" s="79"/>
      <c r="AH1262" s="79"/>
      <c r="DT1262" s="99">
        <f t="shared" si="21"/>
        <v>0</v>
      </c>
    </row>
    <row r="1263" spans="1:124" ht="56.25" hidden="1" x14ac:dyDescent="0.3">
      <c r="A1263" s="143" t="s">
        <v>264</v>
      </c>
      <c r="B1263" s="13">
        <v>936</v>
      </c>
      <c r="C1263" s="14" t="s">
        <v>123</v>
      </c>
      <c r="D1263" s="6" t="s">
        <v>123</v>
      </c>
      <c r="E1263" s="14" t="s">
        <v>850</v>
      </c>
      <c r="F1263" s="14" t="s">
        <v>261</v>
      </c>
      <c r="G1263" s="57">
        <v>0</v>
      </c>
      <c r="H1263" s="116"/>
      <c r="I1263" s="117"/>
      <c r="J1263" s="116"/>
      <c r="K1263" s="80"/>
      <c r="L1263" s="79">
        <v>-162</v>
      </c>
      <c r="M1263" s="79"/>
      <c r="AG1263" s="79"/>
      <c r="AH1263" s="79"/>
      <c r="AK1263" s="79">
        <v>509.12</v>
      </c>
      <c r="AX1263" s="101">
        <f>28.49418+28.49418+261.19665+236.5017</f>
        <v>554.68670999999995</v>
      </c>
      <c r="BA1263" s="194">
        <v>12.347519999999999</v>
      </c>
      <c r="DA1263" s="270">
        <f>47.6685+47.6685+402.32214+400.4154</f>
        <v>898.07453999999996</v>
      </c>
      <c r="DB1263" s="194">
        <v>36.848199999999999</v>
      </c>
      <c r="DM1263" s="194">
        <v>70.557299999999998</v>
      </c>
      <c r="DT1263" s="99">
        <f t="shared" si="21"/>
        <v>0</v>
      </c>
    </row>
    <row r="1264" spans="1:124" ht="56.25" hidden="1" x14ac:dyDescent="0.3">
      <c r="A1264" s="143" t="s">
        <v>301</v>
      </c>
      <c r="B1264" s="13">
        <v>936</v>
      </c>
      <c r="C1264" s="14" t="s">
        <v>123</v>
      </c>
      <c r="D1264" s="6" t="s">
        <v>123</v>
      </c>
      <c r="E1264" s="14" t="s">
        <v>904</v>
      </c>
      <c r="F1264" s="14" t="s">
        <v>50</v>
      </c>
      <c r="G1264" s="57">
        <f>G1265</f>
        <v>0</v>
      </c>
      <c r="H1264" s="116"/>
      <c r="I1264" s="117"/>
      <c r="J1264" s="116"/>
      <c r="K1264" s="80"/>
      <c r="L1264" s="79"/>
      <c r="M1264" s="79"/>
      <c r="AG1264" s="79"/>
      <c r="AH1264" s="79"/>
      <c r="DT1264" s="99">
        <f t="shared" si="21"/>
        <v>0</v>
      </c>
    </row>
    <row r="1265" spans="1:124" ht="57.75" hidden="1" customHeight="1" x14ac:dyDescent="0.3">
      <c r="A1265" s="143" t="s">
        <v>264</v>
      </c>
      <c r="B1265" s="13">
        <v>936</v>
      </c>
      <c r="C1265" s="14" t="s">
        <v>123</v>
      </c>
      <c r="D1265" s="6" t="s">
        <v>123</v>
      </c>
      <c r="E1265" s="14" t="s">
        <v>904</v>
      </c>
      <c r="F1265" s="14" t="s">
        <v>261</v>
      </c>
      <c r="G1265" s="33">
        <v>0</v>
      </c>
      <c r="H1265" s="133"/>
      <c r="I1265" s="134"/>
      <c r="J1265" s="133"/>
      <c r="K1265" s="80"/>
      <c r="L1265" s="79">
        <v>-1.6364000000000001</v>
      </c>
      <c r="M1265" s="79"/>
      <c r="AG1265" s="79"/>
      <c r="AH1265" s="79"/>
      <c r="AK1265" s="79">
        <v>5.12</v>
      </c>
      <c r="AX1265" s="101">
        <f>0.28782+0.28782+2.63835+2.3889</f>
        <v>5.6028900000000004</v>
      </c>
      <c r="BA1265" s="194">
        <v>0.12472999999999999</v>
      </c>
      <c r="DA1265" s="270">
        <f>0.4815+0.4815+4.06386+4.0446</f>
        <v>9.0714600000000001</v>
      </c>
      <c r="DB1265" s="194">
        <v>0.37219999999999998</v>
      </c>
      <c r="DM1265" s="194">
        <v>0.7127</v>
      </c>
      <c r="DT1265" s="99">
        <f t="shared" si="21"/>
        <v>0</v>
      </c>
    </row>
    <row r="1266" spans="1:124" ht="81" hidden="1" customHeight="1" x14ac:dyDescent="0.3">
      <c r="A1266" s="156" t="s">
        <v>140</v>
      </c>
      <c r="B1266" s="13">
        <v>936</v>
      </c>
      <c r="C1266" s="14" t="s">
        <v>123</v>
      </c>
      <c r="D1266" s="6" t="s">
        <v>123</v>
      </c>
      <c r="E1266" s="14" t="s">
        <v>77</v>
      </c>
      <c r="F1266" s="14" t="s">
        <v>50</v>
      </c>
      <c r="G1266" s="57">
        <v>0</v>
      </c>
      <c r="H1266" s="116"/>
      <c r="I1266" s="117"/>
      <c r="J1266" s="116"/>
      <c r="K1266" s="80"/>
      <c r="L1266" s="79"/>
      <c r="M1266" s="79"/>
      <c r="AG1266" s="79"/>
      <c r="AH1266" s="79"/>
      <c r="DT1266" s="99">
        <f t="shared" si="21"/>
        <v>0</v>
      </c>
    </row>
    <row r="1267" spans="1:124" ht="56.25" hidden="1" outlineLevel="1" x14ac:dyDescent="0.3">
      <c r="A1267" s="143" t="s">
        <v>264</v>
      </c>
      <c r="B1267" s="13">
        <v>936</v>
      </c>
      <c r="C1267" s="14" t="s">
        <v>123</v>
      </c>
      <c r="D1267" s="6" t="s">
        <v>123</v>
      </c>
      <c r="E1267" s="14" t="s">
        <v>148</v>
      </c>
      <c r="F1267" s="14" t="s">
        <v>261</v>
      </c>
      <c r="G1267" s="57"/>
      <c r="H1267" s="116"/>
      <c r="I1267" s="117"/>
      <c r="J1267" s="116"/>
      <c r="K1267" s="80"/>
      <c r="L1267" s="79"/>
      <c r="M1267" s="79"/>
      <c r="AG1267" s="79"/>
      <c r="AH1267" s="79"/>
      <c r="DT1267" s="99">
        <f t="shared" si="21"/>
        <v>0</v>
      </c>
    </row>
    <row r="1268" spans="1:124" ht="41.25" hidden="1" customHeight="1" x14ac:dyDescent="0.3">
      <c r="A1268" s="143" t="s">
        <v>164</v>
      </c>
      <c r="B1268" s="13">
        <v>936</v>
      </c>
      <c r="C1268" s="14" t="s">
        <v>123</v>
      </c>
      <c r="D1268" s="6" t="s">
        <v>123</v>
      </c>
      <c r="E1268" s="14" t="s">
        <v>455</v>
      </c>
      <c r="F1268" s="14" t="s">
        <v>50</v>
      </c>
      <c r="G1268" s="57">
        <f>G1269</f>
        <v>0</v>
      </c>
      <c r="H1268" s="116"/>
      <c r="I1268" s="117"/>
      <c r="J1268" s="116"/>
      <c r="K1268" s="80"/>
      <c r="L1268" s="79"/>
      <c r="M1268" s="79"/>
      <c r="AG1268" s="79"/>
      <c r="AH1268" s="79"/>
      <c r="DT1268" s="99">
        <f t="shared" si="21"/>
        <v>0</v>
      </c>
    </row>
    <row r="1269" spans="1:124" ht="41.25" hidden="1" customHeight="1" x14ac:dyDescent="0.3">
      <c r="A1269" s="143" t="s">
        <v>62</v>
      </c>
      <c r="B1269" s="13">
        <v>936</v>
      </c>
      <c r="C1269" s="14" t="s">
        <v>123</v>
      </c>
      <c r="D1269" s="6" t="s">
        <v>123</v>
      </c>
      <c r="E1269" s="14" t="s">
        <v>152</v>
      </c>
      <c r="F1269" s="14" t="s">
        <v>50</v>
      </c>
      <c r="G1269" s="57">
        <v>0</v>
      </c>
      <c r="H1269" s="116"/>
      <c r="I1269" s="117"/>
      <c r="J1269" s="116"/>
      <c r="K1269" s="80"/>
      <c r="L1269" s="79"/>
      <c r="M1269" s="79"/>
      <c r="AG1269" s="79"/>
      <c r="AH1269" s="79"/>
      <c r="DT1269" s="99">
        <f t="shared" si="21"/>
        <v>0</v>
      </c>
    </row>
    <row r="1270" spans="1:124" ht="41.25" hidden="1" customHeight="1" x14ac:dyDescent="0.3">
      <c r="A1270" s="143" t="s">
        <v>141</v>
      </c>
      <c r="B1270" s="13">
        <v>936</v>
      </c>
      <c r="C1270" s="14" t="s">
        <v>529</v>
      </c>
      <c r="D1270" s="6" t="s">
        <v>123</v>
      </c>
      <c r="E1270" s="14" t="s">
        <v>79</v>
      </c>
      <c r="F1270" s="14" t="s">
        <v>50</v>
      </c>
      <c r="G1270" s="57">
        <f>G1272</f>
        <v>0</v>
      </c>
      <c r="H1270" s="116"/>
      <c r="I1270" s="117"/>
      <c r="J1270" s="116"/>
      <c r="K1270" s="80"/>
      <c r="L1270" s="79"/>
      <c r="M1270" s="79"/>
      <c r="AG1270" s="79"/>
      <c r="AH1270" s="79"/>
      <c r="DT1270" s="99">
        <f t="shared" si="21"/>
        <v>0</v>
      </c>
    </row>
    <row r="1271" spans="1:124" ht="30.75" hidden="1" customHeight="1" x14ac:dyDescent="0.3">
      <c r="A1271" s="143" t="s">
        <v>311</v>
      </c>
      <c r="B1271" s="13">
        <v>936</v>
      </c>
      <c r="C1271" s="14" t="s">
        <v>529</v>
      </c>
      <c r="D1271" s="6" t="s">
        <v>123</v>
      </c>
      <c r="E1271" s="14" t="s">
        <v>530</v>
      </c>
      <c r="F1271" s="14" t="s">
        <v>50</v>
      </c>
      <c r="G1271" s="57">
        <f>G1272</f>
        <v>0</v>
      </c>
      <c r="H1271" s="116"/>
      <c r="I1271" s="117"/>
      <c r="J1271" s="116"/>
      <c r="K1271" s="80"/>
      <c r="L1271" s="79"/>
      <c r="M1271" s="79"/>
      <c r="AG1271" s="79"/>
      <c r="AH1271" s="79"/>
      <c r="DT1271" s="99">
        <f t="shared" si="21"/>
        <v>0</v>
      </c>
    </row>
    <row r="1272" spans="1:124" ht="41.25" hidden="1" customHeight="1" x14ac:dyDescent="0.3">
      <c r="A1272" s="143" t="s">
        <v>425</v>
      </c>
      <c r="B1272" s="13">
        <v>936</v>
      </c>
      <c r="C1272" s="14" t="s">
        <v>529</v>
      </c>
      <c r="D1272" s="6" t="s">
        <v>123</v>
      </c>
      <c r="E1272" s="14" t="s">
        <v>530</v>
      </c>
      <c r="F1272" s="14" t="s">
        <v>59</v>
      </c>
      <c r="G1272" s="57">
        <f>1.5+AE1272</f>
        <v>0</v>
      </c>
      <c r="H1272" s="116"/>
      <c r="I1272" s="117"/>
      <c r="J1272" s="116"/>
      <c r="K1272" s="80"/>
      <c r="L1272" s="79"/>
      <c r="M1272" s="79"/>
      <c r="AE1272">
        <v>-1.5</v>
      </c>
      <c r="AG1272" s="79"/>
      <c r="AH1272" s="79"/>
      <c r="AK1272" s="79">
        <v>0</v>
      </c>
      <c r="DT1272" s="99">
        <f t="shared" si="21"/>
        <v>0</v>
      </c>
    </row>
    <row r="1273" spans="1:124" ht="63.75" hidden="1" customHeight="1" x14ac:dyDescent="0.3">
      <c r="A1273" s="143" t="s">
        <v>0</v>
      </c>
      <c r="B1273" s="13">
        <v>936</v>
      </c>
      <c r="C1273" s="14" t="s">
        <v>529</v>
      </c>
      <c r="D1273" s="6" t="s">
        <v>123</v>
      </c>
      <c r="E1273" s="14" t="s">
        <v>92</v>
      </c>
      <c r="F1273" s="14" t="s">
        <v>50</v>
      </c>
      <c r="G1273" s="57">
        <f>G1275+G1280</f>
        <v>0</v>
      </c>
      <c r="H1273" s="116"/>
      <c r="I1273" s="117"/>
      <c r="J1273" s="116"/>
      <c r="K1273" s="80"/>
      <c r="L1273" s="79"/>
      <c r="M1273" s="79"/>
      <c r="AG1273" s="79"/>
      <c r="AH1273" s="79"/>
      <c r="DT1273" s="99">
        <f t="shared" si="21"/>
        <v>0</v>
      </c>
    </row>
    <row r="1274" spans="1:124" ht="69.75" hidden="1" customHeight="1" x14ac:dyDescent="0.3">
      <c r="A1274" s="143" t="s">
        <v>504</v>
      </c>
      <c r="B1274" s="13">
        <v>936</v>
      </c>
      <c r="C1274" s="14" t="s">
        <v>529</v>
      </c>
      <c r="D1274" s="6" t="s">
        <v>123</v>
      </c>
      <c r="E1274" s="14" t="s">
        <v>520</v>
      </c>
      <c r="F1274" s="14" t="s">
        <v>50</v>
      </c>
      <c r="G1274" s="72">
        <f>G1275</f>
        <v>0</v>
      </c>
      <c r="H1274" s="116"/>
      <c r="I1274" s="117"/>
      <c r="J1274" s="116"/>
      <c r="K1274" s="80"/>
      <c r="L1274" s="79"/>
      <c r="M1274" s="79"/>
      <c r="AG1274" s="79"/>
      <c r="AH1274" s="79"/>
      <c r="DT1274" s="99">
        <f t="shared" si="21"/>
        <v>0</v>
      </c>
    </row>
    <row r="1275" spans="1:124" ht="34.5" hidden="1" customHeight="1" x14ac:dyDescent="0.3">
      <c r="A1275" s="143" t="s">
        <v>62</v>
      </c>
      <c r="B1275" s="13">
        <v>936</v>
      </c>
      <c r="C1275" s="14" t="s">
        <v>529</v>
      </c>
      <c r="D1275" s="6" t="s">
        <v>123</v>
      </c>
      <c r="E1275" s="14" t="s">
        <v>522</v>
      </c>
      <c r="F1275" s="14" t="s">
        <v>50</v>
      </c>
      <c r="G1275" s="72">
        <f>G1276</f>
        <v>0</v>
      </c>
      <c r="H1275" s="116"/>
      <c r="I1275" s="117"/>
      <c r="J1275" s="116"/>
      <c r="K1275" s="80"/>
      <c r="L1275" s="79"/>
      <c r="M1275" s="79"/>
      <c r="AG1275" s="79"/>
      <c r="AH1275" s="79"/>
      <c r="DT1275" s="99">
        <f t="shared" si="21"/>
        <v>0</v>
      </c>
    </row>
    <row r="1276" spans="1:124" ht="30.75" hidden="1" customHeight="1" x14ac:dyDescent="0.3">
      <c r="A1276" s="143" t="s">
        <v>156</v>
      </c>
      <c r="B1276" s="13">
        <v>936</v>
      </c>
      <c r="C1276" s="14" t="s">
        <v>529</v>
      </c>
      <c r="D1276" s="6" t="s">
        <v>123</v>
      </c>
      <c r="E1276" s="14" t="s">
        <v>535</v>
      </c>
      <c r="F1276" s="14" t="s">
        <v>50</v>
      </c>
      <c r="G1276" s="72">
        <f>G1277</f>
        <v>0</v>
      </c>
      <c r="H1276" s="116"/>
      <c r="I1276" s="117"/>
      <c r="J1276" s="116"/>
      <c r="K1276" s="80"/>
      <c r="L1276" s="79"/>
      <c r="M1276" s="79"/>
      <c r="AG1276" s="79"/>
      <c r="AH1276" s="79"/>
      <c r="DT1276" s="99">
        <f t="shared" si="21"/>
        <v>0</v>
      </c>
    </row>
    <row r="1277" spans="1:124" ht="41.25" hidden="1" customHeight="1" x14ac:dyDescent="0.3">
      <c r="A1277" s="143" t="s">
        <v>425</v>
      </c>
      <c r="B1277" s="13">
        <v>936</v>
      </c>
      <c r="C1277" s="14" t="s">
        <v>529</v>
      </c>
      <c r="D1277" s="6" t="s">
        <v>123</v>
      </c>
      <c r="E1277" s="14" t="s">
        <v>535</v>
      </c>
      <c r="F1277" s="14" t="s">
        <v>59</v>
      </c>
      <c r="G1277" s="72">
        <v>0</v>
      </c>
      <c r="H1277" s="116">
        <v>3</v>
      </c>
      <c r="I1277" s="117"/>
      <c r="J1277" s="116"/>
      <c r="K1277" s="80"/>
      <c r="L1277" s="79"/>
      <c r="M1277" s="79"/>
      <c r="T1277">
        <v>4</v>
      </c>
      <c r="AG1277" s="79"/>
      <c r="AH1277" s="79"/>
      <c r="AK1277" s="79">
        <v>5</v>
      </c>
      <c r="BL1277" s="194">
        <v>-3</v>
      </c>
      <c r="DT1277" s="99">
        <f t="shared" si="21"/>
        <v>0</v>
      </c>
    </row>
    <row r="1278" spans="1:124" ht="73.5" hidden="1" customHeight="1" x14ac:dyDescent="0.3">
      <c r="A1278" s="143" t="s">
        <v>56</v>
      </c>
      <c r="B1278" s="13">
        <v>936</v>
      </c>
      <c r="C1278" s="44" t="s">
        <v>123</v>
      </c>
      <c r="D1278" s="256" t="s">
        <v>209</v>
      </c>
      <c r="E1278" s="15" t="s">
        <v>37</v>
      </c>
      <c r="F1278" s="15" t="s">
        <v>50</v>
      </c>
      <c r="G1278" s="72">
        <f>G1279</f>
        <v>0</v>
      </c>
      <c r="H1278" s="116"/>
      <c r="I1278" s="117"/>
      <c r="J1278" s="116"/>
      <c r="K1278" s="80"/>
      <c r="L1278" s="79"/>
      <c r="M1278" s="79"/>
      <c r="AG1278" s="79"/>
      <c r="AH1278" s="79"/>
      <c r="DT1278" s="99">
        <f t="shared" si="21"/>
        <v>0</v>
      </c>
    </row>
    <row r="1279" spans="1:124" ht="41.25" hidden="1" customHeight="1" x14ac:dyDescent="0.3">
      <c r="A1279" s="143" t="s">
        <v>425</v>
      </c>
      <c r="B1279" s="13">
        <v>936</v>
      </c>
      <c r="C1279" s="44" t="s">
        <v>123</v>
      </c>
      <c r="D1279" s="256" t="s">
        <v>209</v>
      </c>
      <c r="E1279" s="15" t="s">
        <v>37</v>
      </c>
      <c r="F1279" s="14" t="s">
        <v>59</v>
      </c>
      <c r="G1279" s="72">
        <v>0</v>
      </c>
      <c r="H1279" s="116"/>
      <c r="I1279" s="117"/>
      <c r="J1279" s="116"/>
      <c r="K1279" s="80"/>
      <c r="L1279" s="79"/>
      <c r="M1279" s="79"/>
      <c r="AG1279" s="79"/>
      <c r="AH1279" s="79"/>
      <c r="CD1279" s="226">
        <v>4.0999999999999996</v>
      </c>
      <c r="DT1279" s="99">
        <f t="shared" si="21"/>
        <v>0</v>
      </c>
    </row>
    <row r="1280" spans="1:124" ht="41.25" hidden="1" customHeight="1" x14ac:dyDescent="0.3">
      <c r="A1280" s="143" t="s">
        <v>1122</v>
      </c>
      <c r="B1280" s="13">
        <v>936</v>
      </c>
      <c r="C1280" s="14" t="s">
        <v>529</v>
      </c>
      <c r="D1280" s="6" t="s">
        <v>123</v>
      </c>
      <c r="E1280" s="14" t="s">
        <v>1119</v>
      </c>
      <c r="F1280" s="14" t="s">
        <v>50</v>
      </c>
      <c r="G1280" s="72">
        <f>G1281</f>
        <v>0</v>
      </c>
      <c r="H1280" s="116"/>
      <c r="I1280" s="117"/>
      <c r="J1280" s="116"/>
      <c r="K1280" s="80"/>
      <c r="L1280" s="79"/>
      <c r="M1280" s="79"/>
      <c r="AG1280" s="79"/>
      <c r="AH1280" s="79"/>
      <c r="DT1280" s="99">
        <f t="shared" si="21"/>
        <v>0</v>
      </c>
    </row>
    <row r="1281" spans="1:124" ht="33.75" hidden="1" customHeight="1" x14ac:dyDescent="0.3">
      <c r="A1281" s="143" t="s">
        <v>62</v>
      </c>
      <c r="B1281" s="13">
        <v>936</v>
      </c>
      <c r="C1281" s="14" t="s">
        <v>529</v>
      </c>
      <c r="D1281" s="6" t="s">
        <v>123</v>
      </c>
      <c r="E1281" s="14" t="s">
        <v>1120</v>
      </c>
      <c r="F1281" s="14" t="s">
        <v>50</v>
      </c>
      <c r="G1281" s="72">
        <f>G1282</f>
        <v>0</v>
      </c>
      <c r="H1281" s="116"/>
      <c r="I1281" s="117"/>
      <c r="J1281" s="116"/>
      <c r="K1281" s="80"/>
      <c r="L1281" s="79"/>
      <c r="M1281" s="79"/>
      <c r="AG1281" s="79"/>
      <c r="AH1281" s="79"/>
      <c r="DT1281" s="99">
        <f t="shared" si="21"/>
        <v>0</v>
      </c>
    </row>
    <row r="1282" spans="1:124" ht="41.25" hidden="1" customHeight="1" x14ac:dyDescent="0.3">
      <c r="A1282" s="143" t="s">
        <v>156</v>
      </c>
      <c r="B1282" s="13">
        <v>936</v>
      </c>
      <c r="C1282" s="14" t="s">
        <v>529</v>
      </c>
      <c r="D1282" s="6" t="s">
        <v>123</v>
      </c>
      <c r="E1282" s="14" t="s">
        <v>1121</v>
      </c>
      <c r="F1282" s="14" t="s">
        <v>50</v>
      </c>
      <c r="G1282" s="72">
        <f>G1283</f>
        <v>0</v>
      </c>
      <c r="H1282" s="116"/>
      <c r="I1282" s="117"/>
      <c r="J1282" s="116"/>
      <c r="K1282" s="80"/>
      <c r="L1282" s="79"/>
      <c r="M1282" s="79"/>
      <c r="AG1282" s="79"/>
      <c r="AH1282" s="79"/>
      <c r="DT1282" s="99">
        <f t="shared" si="21"/>
        <v>0</v>
      </c>
    </row>
    <row r="1283" spans="1:124" ht="41.25" hidden="1" customHeight="1" x14ac:dyDescent="0.3">
      <c r="A1283" s="143" t="s">
        <v>425</v>
      </c>
      <c r="B1283" s="13">
        <v>936</v>
      </c>
      <c r="C1283" s="14" t="s">
        <v>529</v>
      </c>
      <c r="D1283" s="6" t="s">
        <v>123</v>
      </c>
      <c r="E1283" s="14" t="s">
        <v>1121</v>
      </c>
      <c r="F1283" s="14" t="s">
        <v>59</v>
      </c>
      <c r="G1283" s="72">
        <v>0</v>
      </c>
      <c r="H1283" s="116"/>
      <c r="I1283" s="117"/>
      <c r="J1283" s="116"/>
      <c r="K1283" s="80"/>
      <c r="L1283" s="79"/>
      <c r="M1283" s="79"/>
      <c r="AG1283" s="79"/>
      <c r="AH1283" s="79"/>
      <c r="CY1283" s="194">
        <v>5</v>
      </c>
      <c r="DT1283" s="99">
        <f t="shared" si="21"/>
        <v>0</v>
      </c>
    </row>
    <row r="1284" spans="1:124" ht="31.5" customHeight="1" x14ac:dyDescent="0.3">
      <c r="A1284" s="155" t="s">
        <v>129</v>
      </c>
      <c r="B1284" s="12">
        <v>936</v>
      </c>
      <c r="C1284" s="19" t="s">
        <v>130</v>
      </c>
      <c r="D1284" s="19" t="s">
        <v>112</v>
      </c>
      <c r="E1284" s="12" t="s">
        <v>49</v>
      </c>
      <c r="F1284" s="9" t="s">
        <v>50</v>
      </c>
      <c r="G1284" s="68">
        <f>G1285+G1321+G1381</f>
        <v>68442.8</v>
      </c>
      <c r="H1284" s="116"/>
      <c r="I1284" s="117"/>
      <c r="J1284" s="116"/>
      <c r="K1284" s="80"/>
      <c r="L1284" s="79"/>
      <c r="M1284" s="79"/>
      <c r="AG1284" s="79"/>
      <c r="AH1284" s="79"/>
      <c r="DT1284" s="99">
        <f t="shared" si="21"/>
        <v>0</v>
      </c>
    </row>
    <row r="1285" spans="1:124" ht="32.25" customHeight="1" x14ac:dyDescent="0.3">
      <c r="A1285" s="155" t="s">
        <v>194</v>
      </c>
      <c r="B1285" s="12">
        <v>936</v>
      </c>
      <c r="C1285" s="19" t="s">
        <v>130</v>
      </c>
      <c r="D1285" s="19" t="s">
        <v>115</v>
      </c>
      <c r="E1285" s="12" t="s">
        <v>49</v>
      </c>
      <c r="F1285" s="9" t="s">
        <v>50</v>
      </c>
      <c r="G1285" s="68">
        <f>G1286+G1343+G1368+G1396</f>
        <v>68442.8</v>
      </c>
      <c r="H1285" s="116"/>
      <c r="I1285" s="117"/>
      <c r="J1285" s="116"/>
      <c r="K1285" s="80"/>
      <c r="L1285" s="79"/>
      <c r="M1285" s="79"/>
      <c r="AG1285" s="79"/>
      <c r="AH1285" s="79"/>
      <c r="DT1285" s="99">
        <f t="shared" si="21"/>
        <v>0</v>
      </c>
    </row>
    <row r="1286" spans="1:124" ht="37.5" customHeight="1" x14ac:dyDescent="0.3">
      <c r="A1286" s="156" t="s">
        <v>158</v>
      </c>
      <c r="B1286" s="13">
        <v>936</v>
      </c>
      <c r="C1286" s="6" t="s">
        <v>130</v>
      </c>
      <c r="D1286" s="6" t="s">
        <v>115</v>
      </c>
      <c r="E1286" s="15" t="s">
        <v>85</v>
      </c>
      <c r="F1286" s="14" t="s">
        <v>50</v>
      </c>
      <c r="G1286" s="57">
        <f>G1287+G1295+G1311+G1303</f>
        <v>68442.8</v>
      </c>
      <c r="H1286" s="116"/>
      <c r="I1286" s="117"/>
      <c r="J1286" s="116"/>
      <c r="K1286" s="80"/>
      <c r="L1286" s="79"/>
      <c r="M1286" s="79"/>
      <c r="AG1286" s="79"/>
      <c r="AH1286" s="79"/>
      <c r="DT1286" s="99">
        <f t="shared" si="21"/>
        <v>0</v>
      </c>
    </row>
    <row r="1287" spans="1:124" ht="62.25" customHeight="1" x14ac:dyDescent="0.3">
      <c r="A1287" s="156" t="s">
        <v>142</v>
      </c>
      <c r="B1287" s="13">
        <v>936</v>
      </c>
      <c r="C1287" s="6" t="s">
        <v>130</v>
      </c>
      <c r="D1287" s="6" t="s">
        <v>115</v>
      </c>
      <c r="E1287" s="15" t="s">
        <v>86</v>
      </c>
      <c r="F1287" s="14" t="s">
        <v>50</v>
      </c>
      <c r="G1287" s="57">
        <f>G1288+G1290+G1293</f>
        <v>22471.899999999998</v>
      </c>
      <c r="H1287" s="116"/>
      <c r="I1287" s="117"/>
      <c r="J1287" s="116"/>
      <c r="K1287" s="80"/>
      <c r="L1287" s="79"/>
      <c r="M1287" s="79"/>
      <c r="AG1287" s="79"/>
      <c r="AH1287" s="79"/>
      <c r="DT1287" s="99">
        <f t="shared" si="21"/>
        <v>0</v>
      </c>
    </row>
    <row r="1288" spans="1:124" x14ac:dyDescent="0.3">
      <c r="A1288" s="143" t="s">
        <v>304</v>
      </c>
      <c r="B1288" s="13">
        <v>936</v>
      </c>
      <c r="C1288" s="6" t="s">
        <v>130</v>
      </c>
      <c r="D1288" s="6" t="s">
        <v>115</v>
      </c>
      <c r="E1288" s="14" t="s">
        <v>306</v>
      </c>
      <c r="F1288" s="14" t="s">
        <v>50</v>
      </c>
      <c r="G1288" s="57">
        <f>G1289</f>
        <v>13579.699999999999</v>
      </c>
      <c r="H1288" s="116"/>
      <c r="I1288" s="117"/>
      <c r="J1288" s="116"/>
      <c r="K1288" s="80"/>
      <c r="L1288" s="79"/>
      <c r="M1288" s="79"/>
      <c r="AG1288" s="79"/>
      <c r="AH1288" s="79"/>
      <c r="DT1288" s="99">
        <f t="shared" si="21"/>
        <v>0</v>
      </c>
    </row>
    <row r="1289" spans="1:124" ht="56.25" x14ac:dyDescent="0.3">
      <c r="A1289" s="143" t="s">
        <v>264</v>
      </c>
      <c r="B1289" s="13">
        <v>936</v>
      </c>
      <c r="C1289" s="6" t="s">
        <v>130</v>
      </c>
      <c r="D1289" s="6" t="s">
        <v>115</v>
      </c>
      <c r="E1289" s="14" t="s">
        <v>306</v>
      </c>
      <c r="F1289" s="14" t="s">
        <v>261</v>
      </c>
      <c r="G1289" s="57">
        <f>DT1289</f>
        <v>13579.699999999999</v>
      </c>
      <c r="H1289" s="116">
        <f>11271.6+1660.4+22</f>
        <v>12954</v>
      </c>
      <c r="I1289" s="117"/>
      <c r="J1289" s="116"/>
      <c r="K1289" s="80"/>
      <c r="L1289" s="79"/>
      <c r="M1289" s="79"/>
      <c r="Q1289" s="89"/>
      <c r="R1289" s="88"/>
      <c r="T1289">
        <v>130</v>
      </c>
      <c r="AE1289">
        <v>43</v>
      </c>
      <c r="AG1289" s="79"/>
      <c r="AH1289" s="79">
        <v>21.48</v>
      </c>
      <c r="AK1289" s="79">
        <v>12199.2</v>
      </c>
      <c r="AN1289" s="150">
        <v>550</v>
      </c>
      <c r="BL1289" s="194">
        <v>-26.9</v>
      </c>
      <c r="BM1289" s="100">
        <v>14501.5</v>
      </c>
      <c r="CD1289" s="226">
        <v>114.9</v>
      </c>
      <c r="CS1289" s="264">
        <f>539.4+17+14939.2+1298.6</f>
        <v>16794.2</v>
      </c>
      <c r="DC1289" s="194">
        <v>18</v>
      </c>
      <c r="DO1289" s="274">
        <f>16367.3-5000</f>
        <v>11367.3</v>
      </c>
      <c r="DP1289" s="99">
        <f>293.6+1159.1+7.9+3+9+55</f>
        <v>1527.6</v>
      </c>
      <c r="DQ1289" s="99">
        <v>91.5</v>
      </c>
      <c r="DR1289" s="99">
        <v>593.29999999999995</v>
      </c>
      <c r="DT1289" s="99">
        <f t="shared" si="21"/>
        <v>13579.699999999999</v>
      </c>
    </row>
    <row r="1290" spans="1:124" ht="41.25" customHeight="1" x14ac:dyDescent="0.3">
      <c r="A1290" s="162" t="s">
        <v>374</v>
      </c>
      <c r="B1290" s="13">
        <v>936</v>
      </c>
      <c r="C1290" s="6" t="s">
        <v>130</v>
      </c>
      <c r="D1290" s="6" t="s">
        <v>115</v>
      </c>
      <c r="E1290" s="14" t="s">
        <v>430</v>
      </c>
      <c r="F1290" s="14" t="s">
        <v>50</v>
      </c>
      <c r="G1290" s="57">
        <f>G1291</f>
        <v>5015</v>
      </c>
      <c r="H1290" s="116"/>
      <c r="I1290" s="117"/>
      <c r="J1290" s="116"/>
      <c r="K1290" s="80"/>
      <c r="L1290" s="79"/>
      <c r="M1290" s="79"/>
      <c r="Q1290" s="89"/>
      <c r="R1290" s="88"/>
      <c r="AG1290" s="79"/>
      <c r="AH1290" s="79"/>
      <c r="DT1290" s="99">
        <f t="shared" si="21"/>
        <v>0</v>
      </c>
    </row>
    <row r="1291" spans="1:124" ht="56.25" x14ac:dyDescent="0.3">
      <c r="A1291" s="143" t="s">
        <v>264</v>
      </c>
      <c r="B1291" s="13">
        <v>936</v>
      </c>
      <c r="C1291" s="6" t="s">
        <v>130</v>
      </c>
      <c r="D1291" s="6" t="s">
        <v>115</v>
      </c>
      <c r="E1291" s="14" t="s">
        <v>430</v>
      </c>
      <c r="F1291" s="14" t="s">
        <v>261</v>
      </c>
      <c r="G1291" s="57">
        <f>DT1291</f>
        <v>5015</v>
      </c>
      <c r="H1291" s="116"/>
      <c r="I1291" s="117"/>
      <c r="J1291" s="116"/>
      <c r="K1291" s="80"/>
      <c r="L1291" s="79"/>
      <c r="M1291" s="79"/>
      <c r="Q1291" s="89"/>
      <c r="R1291" s="88"/>
      <c r="Z1291">
        <v>326.7</v>
      </c>
      <c r="AF1291">
        <v>5.1210000000000004</v>
      </c>
      <c r="AG1291" s="79">
        <v>550.5</v>
      </c>
      <c r="AH1291" s="79"/>
      <c r="AK1291" s="79">
        <v>0</v>
      </c>
      <c r="AP1291" s="151">
        <v>856.4</v>
      </c>
      <c r="BK1291" s="226">
        <v>108.7</v>
      </c>
      <c r="BY1291" s="151">
        <v>798.9</v>
      </c>
      <c r="CI1291" s="194">
        <v>992.9</v>
      </c>
      <c r="CW1291" s="268">
        <v>1722.1</v>
      </c>
      <c r="DO1291" s="274">
        <v>5000</v>
      </c>
      <c r="DQ1291" s="99">
        <v>15</v>
      </c>
      <c r="DT1291" s="99">
        <f t="shared" si="21"/>
        <v>5015</v>
      </c>
    </row>
    <row r="1292" spans="1:124" ht="56.25" hidden="1" x14ac:dyDescent="0.3">
      <c r="A1292" s="143" t="s">
        <v>264</v>
      </c>
      <c r="B1292" s="13">
        <v>936</v>
      </c>
      <c r="C1292" s="6" t="s">
        <v>130</v>
      </c>
      <c r="D1292" s="6" t="s">
        <v>115</v>
      </c>
      <c r="E1292" s="14" t="s">
        <v>431</v>
      </c>
      <c r="F1292" s="14" t="s">
        <v>261</v>
      </c>
      <c r="G1292" s="57">
        <v>0</v>
      </c>
      <c r="H1292" s="116"/>
      <c r="I1292" s="117"/>
      <c r="J1292" s="116"/>
      <c r="K1292" s="80"/>
      <c r="L1292" s="79"/>
      <c r="M1292" s="79"/>
      <c r="AG1292" s="79"/>
      <c r="AH1292" s="79"/>
      <c r="DT1292" s="99">
        <f t="shared" si="21"/>
        <v>0</v>
      </c>
    </row>
    <row r="1293" spans="1:124" ht="71.25" customHeight="1" x14ac:dyDescent="0.3">
      <c r="A1293" s="276" t="s">
        <v>1149</v>
      </c>
      <c r="B1293" s="13">
        <v>936</v>
      </c>
      <c r="C1293" s="6" t="s">
        <v>130</v>
      </c>
      <c r="D1293" s="6" t="s">
        <v>115</v>
      </c>
      <c r="E1293" s="113" t="s">
        <v>1174</v>
      </c>
      <c r="F1293" s="14" t="s">
        <v>50</v>
      </c>
      <c r="G1293" s="57">
        <f>G1294</f>
        <v>3877.2000000000003</v>
      </c>
      <c r="H1293" s="116"/>
      <c r="I1293" s="117"/>
      <c r="J1293" s="116"/>
      <c r="K1293" s="80"/>
      <c r="L1293" s="79"/>
      <c r="M1293" s="79"/>
      <c r="AG1293" s="79"/>
      <c r="AH1293" s="79"/>
      <c r="DT1293" s="99">
        <f t="shared" ref="DT1293:DT1365" si="22">DN1293+DO1293+DP1293+DQ1293+DR1293+DS1293</f>
        <v>0</v>
      </c>
    </row>
    <row r="1294" spans="1:124" ht="56.25" x14ac:dyDescent="0.3">
      <c r="A1294" s="143" t="s">
        <v>264</v>
      </c>
      <c r="B1294" s="13">
        <v>936</v>
      </c>
      <c r="C1294" s="6" t="s">
        <v>130</v>
      </c>
      <c r="D1294" s="6" t="s">
        <v>115</v>
      </c>
      <c r="E1294" s="113" t="s">
        <v>1174</v>
      </c>
      <c r="F1294" s="14" t="s">
        <v>261</v>
      </c>
      <c r="G1294" s="57">
        <f>DT1294</f>
        <v>3877.2000000000003</v>
      </c>
      <c r="H1294" s="116"/>
      <c r="I1294" s="117"/>
      <c r="J1294" s="116"/>
      <c r="K1294" s="80"/>
      <c r="L1294" s="79"/>
      <c r="M1294" s="79"/>
      <c r="AG1294" s="79"/>
      <c r="AH1294" s="79"/>
      <c r="DN1294" s="274">
        <f>3838.4+38.8</f>
        <v>3877.2000000000003</v>
      </c>
      <c r="DT1294" s="99">
        <f t="shared" si="22"/>
        <v>3877.2000000000003</v>
      </c>
    </row>
    <row r="1295" spans="1:124" ht="43.5" customHeight="1" x14ac:dyDescent="0.3">
      <c r="A1295" s="156" t="s">
        <v>144</v>
      </c>
      <c r="B1295" s="13">
        <v>936</v>
      </c>
      <c r="C1295" s="6" t="s">
        <v>130</v>
      </c>
      <c r="D1295" s="6" t="s">
        <v>115</v>
      </c>
      <c r="E1295" s="15" t="s">
        <v>88</v>
      </c>
      <c r="F1295" s="14" t="s">
        <v>50</v>
      </c>
      <c r="G1295" s="57">
        <f>G1297+G1299</f>
        <v>37294</v>
      </c>
      <c r="H1295" s="116"/>
      <c r="I1295" s="117"/>
      <c r="J1295" s="116"/>
      <c r="K1295" s="80"/>
      <c r="L1295" s="79"/>
      <c r="M1295" s="79"/>
      <c r="Q1295" s="93"/>
      <c r="R1295" s="88"/>
      <c r="AG1295" s="79"/>
      <c r="AH1295" s="79"/>
      <c r="DT1295" s="99">
        <f t="shared" si="22"/>
        <v>0</v>
      </c>
    </row>
    <row r="1296" spans="1:124" ht="39" customHeight="1" x14ac:dyDescent="0.3">
      <c r="A1296" s="143" t="s">
        <v>307</v>
      </c>
      <c r="B1296" s="13">
        <v>936</v>
      </c>
      <c r="C1296" s="6" t="s">
        <v>130</v>
      </c>
      <c r="D1296" s="6" t="s">
        <v>115</v>
      </c>
      <c r="E1296" s="14" t="s">
        <v>309</v>
      </c>
      <c r="F1296" s="14" t="s">
        <v>50</v>
      </c>
      <c r="G1296" s="57">
        <f>G1297</f>
        <v>27393.999999999996</v>
      </c>
      <c r="H1296" s="116"/>
      <c r="I1296" s="117"/>
      <c r="J1296" s="116"/>
      <c r="K1296" s="80"/>
      <c r="L1296" s="79"/>
      <c r="M1296" s="79"/>
      <c r="Q1296" s="93"/>
      <c r="R1296" s="88"/>
      <c r="AG1296" s="79"/>
      <c r="AH1296" s="79"/>
      <c r="DR1296" s="99">
        <v>968.1</v>
      </c>
      <c r="DT1296" s="99">
        <f t="shared" si="22"/>
        <v>968.1</v>
      </c>
    </row>
    <row r="1297" spans="1:124" ht="43.5" customHeight="1" x14ac:dyDescent="0.3">
      <c r="A1297" s="143" t="s">
        <v>264</v>
      </c>
      <c r="B1297" s="13">
        <v>936</v>
      </c>
      <c r="C1297" s="6" t="s">
        <v>130</v>
      </c>
      <c r="D1297" s="6" t="s">
        <v>115</v>
      </c>
      <c r="E1297" s="14" t="s">
        <v>309</v>
      </c>
      <c r="F1297" s="14" t="s">
        <v>261</v>
      </c>
      <c r="G1297" s="72">
        <f>DT1296+DT1297</f>
        <v>27393.999999999996</v>
      </c>
      <c r="H1297" s="116">
        <f>19167.8+5519.8</f>
        <v>24687.599999999999</v>
      </c>
      <c r="I1297" s="117"/>
      <c r="J1297" s="116"/>
      <c r="K1297" s="80"/>
      <c r="L1297" s="79"/>
      <c r="M1297" s="79"/>
      <c r="N1297">
        <f>25+23.5</f>
        <v>48.5</v>
      </c>
      <c r="Q1297" s="93"/>
      <c r="R1297" s="88"/>
      <c r="T1297">
        <v>195.2</v>
      </c>
      <c r="U1297">
        <v>-19.5</v>
      </c>
      <c r="Z1297">
        <v>49.1</v>
      </c>
      <c r="AE1297">
        <v>6</v>
      </c>
      <c r="AG1297" s="79"/>
      <c r="AH1297" s="79">
        <v>371</v>
      </c>
      <c r="AK1297" s="79">
        <f>23433.6-299.5</f>
        <v>23134.1</v>
      </c>
      <c r="BJ1297" s="194">
        <v>-646</v>
      </c>
      <c r="BL1297" s="194">
        <v>-675</v>
      </c>
      <c r="BM1297" s="100">
        <f>26932.4-1545.5</f>
        <v>25386.9</v>
      </c>
      <c r="BX1297" s="151">
        <v>18.600000000000001</v>
      </c>
      <c r="CB1297" s="226">
        <v>37.799999999999997</v>
      </c>
      <c r="CP1297" s="259">
        <v>1697.1</v>
      </c>
      <c r="CR1297" s="99">
        <v>1000</v>
      </c>
      <c r="CS1297" s="264">
        <f>23379.3+880.1+5142</f>
        <v>29401.399999999998</v>
      </c>
      <c r="DF1297" s="194">
        <v>96</v>
      </c>
      <c r="DH1297" s="194">
        <v>76</v>
      </c>
      <c r="DO1297" s="274">
        <f>28575.7-8500</f>
        <v>20075.7</v>
      </c>
      <c r="DP1297" s="99">
        <f>589.6+5307.2+56.9+64.4+0.5</f>
        <v>6018.5999999999995</v>
      </c>
      <c r="DQ1297" s="99">
        <v>146.6</v>
      </c>
      <c r="DS1297" s="99">
        <v>185</v>
      </c>
      <c r="DT1297" s="99">
        <f t="shared" si="22"/>
        <v>26425.899999999998</v>
      </c>
    </row>
    <row r="1298" spans="1:124" ht="44.25" customHeight="1" x14ac:dyDescent="0.3">
      <c r="A1298" s="162" t="s">
        <v>374</v>
      </c>
      <c r="B1298" s="13">
        <v>936</v>
      </c>
      <c r="C1298" s="6" t="s">
        <v>130</v>
      </c>
      <c r="D1298" s="6" t="s">
        <v>115</v>
      </c>
      <c r="E1298" s="14" t="s">
        <v>531</v>
      </c>
      <c r="F1298" s="14" t="s">
        <v>50</v>
      </c>
      <c r="G1298" s="57">
        <f>G1299</f>
        <v>9900</v>
      </c>
      <c r="H1298" s="116"/>
      <c r="I1298" s="117"/>
      <c r="J1298" s="116"/>
      <c r="K1298" s="80"/>
      <c r="L1298" s="79"/>
      <c r="M1298" s="79"/>
      <c r="R1298" s="88"/>
      <c r="AG1298" s="79"/>
      <c r="AH1298" s="79"/>
      <c r="DT1298" s="99">
        <f t="shared" si="22"/>
        <v>0</v>
      </c>
    </row>
    <row r="1299" spans="1:124" ht="56.25" x14ac:dyDescent="0.3">
      <c r="A1299" s="143" t="s">
        <v>264</v>
      </c>
      <c r="B1299" s="13">
        <v>936</v>
      </c>
      <c r="C1299" s="6" t="s">
        <v>130</v>
      </c>
      <c r="D1299" s="6" t="s">
        <v>115</v>
      </c>
      <c r="E1299" s="14" t="s">
        <v>375</v>
      </c>
      <c r="F1299" s="14" t="s">
        <v>261</v>
      </c>
      <c r="G1299" s="57">
        <f>DT1299</f>
        <v>9900</v>
      </c>
      <c r="H1299" s="125">
        <v>1522.4</v>
      </c>
      <c r="I1299" s="126"/>
      <c r="J1299" s="125"/>
      <c r="K1299" s="80"/>
      <c r="L1299" s="79"/>
      <c r="M1299" s="79"/>
      <c r="Q1299" s="89"/>
      <c r="R1299" s="88"/>
      <c r="Z1299">
        <v>-360.1</v>
      </c>
      <c r="AF1299">
        <v>61.234999999999999</v>
      </c>
      <c r="AG1299" s="79">
        <v>982.4</v>
      </c>
      <c r="AH1299" s="79"/>
      <c r="AK1299" s="79">
        <v>1516.1</v>
      </c>
      <c r="AP1299" s="151">
        <v>1471.7</v>
      </c>
      <c r="BM1299" s="100">
        <v>1545.5</v>
      </c>
      <c r="BY1299" s="151">
        <v>1263.4000000000001</v>
      </c>
      <c r="CI1299" s="194">
        <v>1340.1</v>
      </c>
      <c r="CP1299" s="259">
        <v>-26.626000000000001</v>
      </c>
      <c r="CS1299" s="264">
        <v>1458.1</v>
      </c>
      <c r="CW1299" s="268">
        <v>2423.1</v>
      </c>
      <c r="DI1299" s="270">
        <v>670.5</v>
      </c>
      <c r="DO1299" s="274">
        <v>8500</v>
      </c>
      <c r="DQ1299" s="99">
        <v>1400</v>
      </c>
      <c r="DT1299" s="99">
        <f t="shared" si="22"/>
        <v>9900</v>
      </c>
    </row>
    <row r="1300" spans="1:124" ht="56.25" hidden="1" x14ac:dyDescent="0.3">
      <c r="A1300" s="162" t="s">
        <v>378</v>
      </c>
      <c r="B1300" s="13">
        <v>936</v>
      </c>
      <c r="C1300" s="6" t="s">
        <v>130</v>
      </c>
      <c r="D1300" s="6" t="s">
        <v>115</v>
      </c>
      <c r="E1300" s="14" t="s">
        <v>431</v>
      </c>
      <c r="F1300" s="14" t="s">
        <v>50</v>
      </c>
      <c r="G1300" s="57">
        <f>G1301</f>
        <v>0</v>
      </c>
      <c r="H1300" s="116"/>
      <c r="I1300" s="117"/>
      <c r="J1300" s="116"/>
      <c r="K1300" s="80"/>
      <c r="L1300" s="79"/>
      <c r="M1300" s="79"/>
      <c r="Q1300" s="89"/>
      <c r="AG1300" s="79"/>
      <c r="AH1300" s="79"/>
      <c r="DT1300" s="99">
        <f t="shared" si="22"/>
        <v>0</v>
      </c>
    </row>
    <row r="1301" spans="1:124" ht="93.75" hidden="1" x14ac:dyDescent="0.3">
      <c r="A1301" s="143" t="s">
        <v>56</v>
      </c>
      <c r="B1301" s="13">
        <v>936</v>
      </c>
      <c r="C1301" s="6" t="s">
        <v>130</v>
      </c>
      <c r="D1301" s="6" t="s">
        <v>115</v>
      </c>
      <c r="E1301" s="14" t="s">
        <v>432</v>
      </c>
      <c r="F1301" s="14" t="s">
        <v>261</v>
      </c>
      <c r="G1301" s="72"/>
      <c r="H1301" s="116"/>
      <c r="I1301" s="117"/>
      <c r="J1301" s="116"/>
      <c r="K1301" s="80"/>
      <c r="L1301" s="79"/>
      <c r="M1301" s="79"/>
      <c r="Q1301" s="89"/>
      <c r="AG1301" s="79"/>
      <c r="AH1301" s="79"/>
      <c r="DT1301" s="99">
        <f t="shared" si="22"/>
        <v>0</v>
      </c>
    </row>
    <row r="1302" spans="1:124" ht="56.25" hidden="1" x14ac:dyDescent="0.3">
      <c r="A1302" s="143" t="s">
        <v>158</v>
      </c>
      <c r="B1302" s="13">
        <v>936</v>
      </c>
      <c r="C1302" s="6" t="s">
        <v>115</v>
      </c>
      <c r="D1302" s="6" t="s">
        <v>189</v>
      </c>
      <c r="E1302" s="14" t="s">
        <v>85</v>
      </c>
      <c r="F1302" s="14" t="s">
        <v>50</v>
      </c>
      <c r="G1302" s="72">
        <v>6808.5999999999995</v>
      </c>
      <c r="H1302" s="116"/>
      <c r="I1302" s="117"/>
      <c r="J1302" s="116"/>
      <c r="K1302" s="80"/>
      <c r="L1302" s="79"/>
      <c r="M1302" s="79"/>
      <c r="Q1302" s="89"/>
      <c r="AG1302" s="79"/>
      <c r="AH1302" s="79"/>
      <c r="DT1302" s="99"/>
    </row>
    <row r="1303" spans="1:124" ht="37.5" x14ac:dyDescent="0.3">
      <c r="A1303" s="143" t="s">
        <v>214</v>
      </c>
      <c r="B1303" s="13">
        <v>936</v>
      </c>
      <c r="C1303" s="6" t="s">
        <v>115</v>
      </c>
      <c r="D1303" s="6" t="s">
        <v>189</v>
      </c>
      <c r="E1303" s="14" t="s">
        <v>89</v>
      </c>
      <c r="F1303" s="14" t="s">
        <v>50</v>
      </c>
      <c r="G1303" s="72">
        <v>6808.5999999999995</v>
      </c>
      <c r="H1303" s="116"/>
      <c r="I1303" s="117"/>
      <c r="J1303" s="116"/>
      <c r="K1303" s="80"/>
      <c r="L1303" s="79"/>
      <c r="M1303" s="79"/>
      <c r="Q1303" s="89"/>
      <c r="AG1303" s="79"/>
      <c r="AH1303" s="79"/>
      <c r="DT1303" s="99"/>
    </row>
    <row r="1304" spans="1:124" ht="37.5" x14ac:dyDescent="0.3">
      <c r="A1304" s="143" t="s">
        <v>52</v>
      </c>
      <c r="B1304" s="13">
        <v>936</v>
      </c>
      <c r="C1304" s="6" t="s">
        <v>115</v>
      </c>
      <c r="D1304" s="6" t="s">
        <v>189</v>
      </c>
      <c r="E1304" s="14" t="s">
        <v>216</v>
      </c>
      <c r="F1304" s="14" t="s">
        <v>50</v>
      </c>
      <c r="G1304" s="72">
        <v>5894.9</v>
      </c>
      <c r="H1304" s="116"/>
      <c r="I1304" s="117"/>
      <c r="J1304" s="116"/>
      <c r="K1304" s="80"/>
      <c r="L1304" s="79"/>
      <c r="M1304" s="79"/>
      <c r="Q1304" s="89"/>
      <c r="AG1304" s="79"/>
      <c r="AH1304" s="79"/>
      <c r="DT1304" s="99"/>
    </row>
    <row r="1305" spans="1:124" x14ac:dyDescent="0.3">
      <c r="A1305" s="143" t="s">
        <v>215</v>
      </c>
      <c r="B1305" s="13">
        <v>936</v>
      </c>
      <c r="C1305" s="6" t="s">
        <v>115</v>
      </c>
      <c r="D1305" s="6" t="s">
        <v>189</v>
      </c>
      <c r="E1305" s="14" t="s">
        <v>217</v>
      </c>
      <c r="F1305" s="14" t="s">
        <v>50</v>
      </c>
      <c r="G1305" s="72">
        <v>5894.9</v>
      </c>
      <c r="H1305" s="116"/>
      <c r="I1305" s="117"/>
      <c r="J1305" s="116"/>
      <c r="K1305" s="80"/>
      <c r="L1305" s="79"/>
      <c r="M1305" s="79"/>
      <c r="Q1305" s="89"/>
      <c r="AG1305" s="79"/>
      <c r="AH1305" s="79"/>
      <c r="DT1305" s="99"/>
    </row>
    <row r="1306" spans="1:124" ht="93.75" x14ac:dyDescent="0.3">
      <c r="A1306" s="143" t="s">
        <v>56</v>
      </c>
      <c r="B1306" s="13">
        <v>936</v>
      </c>
      <c r="C1306" s="6" t="s">
        <v>115</v>
      </c>
      <c r="D1306" s="6" t="s">
        <v>189</v>
      </c>
      <c r="E1306" s="14" t="s">
        <v>217</v>
      </c>
      <c r="F1306" s="14" t="s">
        <v>57</v>
      </c>
      <c r="G1306" s="72">
        <v>5292.2</v>
      </c>
      <c r="H1306" s="116"/>
      <c r="I1306" s="117"/>
      <c r="J1306" s="116"/>
      <c r="K1306" s="80"/>
      <c r="L1306" s="79"/>
      <c r="M1306" s="79"/>
      <c r="Q1306" s="89"/>
      <c r="AG1306" s="79"/>
      <c r="AH1306" s="79"/>
      <c r="DT1306" s="99"/>
    </row>
    <row r="1307" spans="1:124" ht="37.5" x14ac:dyDescent="0.3">
      <c r="A1307" s="143" t="s">
        <v>425</v>
      </c>
      <c r="B1307" s="13">
        <v>936</v>
      </c>
      <c r="C1307" s="6" t="s">
        <v>115</v>
      </c>
      <c r="D1307" s="6" t="s">
        <v>189</v>
      </c>
      <c r="E1307" s="14" t="s">
        <v>217</v>
      </c>
      <c r="F1307" s="14" t="s">
        <v>59</v>
      </c>
      <c r="G1307" s="72">
        <v>602.70000000000005</v>
      </c>
      <c r="H1307" s="116"/>
      <c r="I1307" s="117"/>
      <c r="J1307" s="116"/>
      <c r="K1307" s="80"/>
      <c r="L1307" s="79"/>
      <c r="M1307" s="79"/>
      <c r="Q1307" s="89"/>
      <c r="AG1307" s="79"/>
      <c r="AH1307" s="79"/>
      <c r="DT1307" s="99"/>
    </row>
    <row r="1308" spans="1:124" ht="75" x14ac:dyDescent="0.3">
      <c r="A1308" s="143" t="s">
        <v>173</v>
      </c>
      <c r="B1308" s="13">
        <v>936</v>
      </c>
      <c r="C1308" s="6" t="s">
        <v>115</v>
      </c>
      <c r="D1308" s="6" t="s">
        <v>189</v>
      </c>
      <c r="E1308" s="14" t="s">
        <v>1158</v>
      </c>
      <c r="F1308" s="14" t="s">
        <v>50</v>
      </c>
      <c r="G1308" s="72">
        <v>913.7</v>
      </c>
      <c r="H1308" s="116"/>
      <c r="I1308" s="117"/>
      <c r="J1308" s="116"/>
      <c r="K1308" s="80"/>
      <c r="L1308" s="79"/>
      <c r="M1308" s="79"/>
      <c r="Q1308" s="89"/>
      <c r="AG1308" s="79"/>
      <c r="AH1308" s="79"/>
      <c r="DT1308" s="99"/>
    </row>
    <row r="1309" spans="1:124" ht="56.25" x14ac:dyDescent="0.3">
      <c r="A1309" s="143" t="s">
        <v>533</v>
      </c>
      <c r="B1309" s="13">
        <v>936</v>
      </c>
      <c r="C1309" s="6" t="s">
        <v>115</v>
      </c>
      <c r="D1309" s="6" t="s">
        <v>189</v>
      </c>
      <c r="E1309" s="14" t="s">
        <v>1158</v>
      </c>
      <c r="F1309" s="14" t="s">
        <v>50</v>
      </c>
      <c r="G1309" s="72">
        <v>913.7</v>
      </c>
      <c r="H1309" s="116"/>
      <c r="I1309" s="117"/>
      <c r="J1309" s="116"/>
      <c r="K1309" s="80"/>
      <c r="L1309" s="79"/>
      <c r="M1309" s="79"/>
      <c r="Q1309" s="89"/>
      <c r="AG1309" s="79"/>
      <c r="AH1309" s="79"/>
      <c r="DT1309" s="99"/>
    </row>
    <row r="1310" spans="1:124" ht="37.5" x14ac:dyDescent="0.3">
      <c r="A1310" s="143" t="s">
        <v>425</v>
      </c>
      <c r="B1310" s="13">
        <v>936</v>
      </c>
      <c r="C1310" s="6" t="s">
        <v>115</v>
      </c>
      <c r="D1310" s="6" t="s">
        <v>189</v>
      </c>
      <c r="E1310" s="14" t="s">
        <v>1158</v>
      </c>
      <c r="F1310" s="14" t="s">
        <v>59</v>
      </c>
      <c r="G1310" s="72">
        <v>913.7</v>
      </c>
      <c r="H1310" s="116"/>
      <c r="I1310" s="117"/>
      <c r="J1310" s="116"/>
      <c r="K1310" s="80"/>
      <c r="L1310" s="79"/>
      <c r="M1310" s="79"/>
      <c r="Q1310" s="89"/>
      <c r="AG1310" s="79"/>
      <c r="AH1310" s="79"/>
      <c r="DT1310" s="99"/>
    </row>
    <row r="1311" spans="1:124" ht="40.5" customHeight="1" x14ac:dyDescent="0.3">
      <c r="A1311" s="143" t="s">
        <v>409</v>
      </c>
      <c r="B1311" s="13">
        <v>936</v>
      </c>
      <c r="C1311" s="6" t="s">
        <v>130</v>
      </c>
      <c r="D1311" s="6" t="s">
        <v>115</v>
      </c>
      <c r="E1311" s="14" t="s">
        <v>90</v>
      </c>
      <c r="F1311" s="14" t="s">
        <v>50</v>
      </c>
      <c r="G1311" s="57">
        <f>G1312+G1315+G1361+G1392+G1394+G1416</f>
        <v>1868.3</v>
      </c>
      <c r="H1311" s="116"/>
      <c r="I1311" s="117"/>
      <c r="J1311" s="116"/>
      <c r="K1311" s="80"/>
      <c r="L1311" s="79"/>
      <c r="M1311" s="79"/>
      <c r="Q1311" s="89"/>
      <c r="R1311" s="88"/>
      <c r="AG1311" s="79"/>
      <c r="AH1311" s="79"/>
      <c r="DT1311" s="99">
        <f t="shared" si="22"/>
        <v>0</v>
      </c>
    </row>
    <row r="1312" spans="1:124" ht="40.5" customHeight="1" x14ac:dyDescent="0.3">
      <c r="A1312" s="143" t="s">
        <v>62</v>
      </c>
      <c r="B1312" s="13">
        <v>936</v>
      </c>
      <c r="C1312" s="6" t="s">
        <v>130</v>
      </c>
      <c r="D1312" s="6" t="s">
        <v>115</v>
      </c>
      <c r="E1312" s="14" t="s">
        <v>310</v>
      </c>
      <c r="F1312" s="14" t="s">
        <v>50</v>
      </c>
      <c r="G1312" s="57">
        <f>G1314+G1313</f>
        <v>1724</v>
      </c>
      <c r="H1312" s="116"/>
      <c r="I1312" s="117"/>
      <c r="J1312" s="116"/>
      <c r="K1312" s="80"/>
      <c r="L1312" s="79"/>
      <c r="M1312" s="79"/>
      <c r="Q1312" s="89"/>
      <c r="R1312" s="88"/>
      <c r="AG1312" s="79"/>
      <c r="AH1312" s="79"/>
      <c r="DT1312" s="99">
        <f t="shared" si="22"/>
        <v>0</v>
      </c>
    </row>
    <row r="1313" spans="1:124" ht="40.5" customHeight="1" x14ac:dyDescent="0.3">
      <c r="A1313" s="143" t="s">
        <v>425</v>
      </c>
      <c r="B1313" s="13">
        <v>936</v>
      </c>
      <c r="C1313" s="6" t="s">
        <v>130</v>
      </c>
      <c r="D1313" s="6" t="s">
        <v>115</v>
      </c>
      <c r="E1313" s="14" t="s">
        <v>312</v>
      </c>
      <c r="F1313" s="14" t="s">
        <v>59</v>
      </c>
      <c r="G1313" s="57">
        <v>0</v>
      </c>
      <c r="H1313" s="116"/>
      <c r="I1313" s="117"/>
      <c r="J1313" s="116"/>
      <c r="K1313" s="80"/>
      <c r="L1313" s="79"/>
      <c r="M1313" s="79"/>
      <c r="Q1313" s="89"/>
      <c r="R1313" s="88"/>
      <c r="AG1313" s="79"/>
      <c r="AH1313" s="79"/>
      <c r="CV1313" s="268">
        <v>500</v>
      </c>
      <c r="DT1313" s="99">
        <f t="shared" si="22"/>
        <v>0</v>
      </c>
    </row>
    <row r="1314" spans="1:124" ht="40.5" customHeight="1" x14ac:dyDescent="0.3">
      <c r="A1314" s="143" t="s">
        <v>264</v>
      </c>
      <c r="B1314" s="13">
        <v>936</v>
      </c>
      <c r="C1314" s="6" t="s">
        <v>130</v>
      </c>
      <c r="D1314" s="6" t="s">
        <v>115</v>
      </c>
      <c r="E1314" s="14" t="s">
        <v>312</v>
      </c>
      <c r="F1314" s="14" t="s">
        <v>261</v>
      </c>
      <c r="G1314" s="57">
        <f>DT1314</f>
        <v>1724</v>
      </c>
      <c r="H1314" s="125">
        <v>1326.5</v>
      </c>
      <c r="I1314" s="126"/>
      <c r="J1314" s="125"/>
      <c r="K1314" s="80"/>
      <c r="L1314" s="79"/>
      <c r="M1314" s="79"/>
      <c r="Q1314" s="89"/>
      <c r="R1314" s="88"/>
      <c r="U1314">
        <v>110</v>
      </c>
      <c r="AG1314" s="79"/>
      <c r="AH1314" s="79"/>
      <c r="AK1314" s="79">
        <v>638.5</v>
      </c>
      <c r="AV1314" s="194">
        <f>3.5+65.6</f>
        <v>69.099999999999994</v>
      </c>
      <c r="AX1314" s="101">
        <v>-65.599999999999994</v>
      </c>
      <c r="AY1314" s="226">
        <v>531.95875999999998</v>
      </c>
      <c r="BJ1314" s="194">
        <v>-5.9999999999999995E-4</v>
      </c>
      <c r="BL1314" s="194">
        <v>26.48</v>
      </c>
      <c r="BN1314" s="237">
        <f>1463.2+90</f>
        <v>1553.2</v>
      </c>
      <c r="BX1314" s="151">
        <v>95</v>
      </c>
      <c r="CD1314" s="226">
        <f>175.5+400</f>
        <v>575.5</v>
      </c>
      <c r="CF1314" s="194">
        <v>1347.3</v>
      </c>
      <c r="CH1314" s="258">
        <v>-250</v>
      </c>
      <c r="CP1314" s="259">
        <f>-161.04822</f>
        <v>-161.04821999999999</v>
      </c>
      <c r="CR1314" s="99">
        <v>1700</v>
      </c>
      <c r="CV1314" s="268">
        <v>291.8</v>
      </c>
      <c r="CY1314" s="194">
        <v>592.9</v>
      </c>
      <c r="CZ1314" s="194">
        <v>1400.24</v>
      </c>
      <c r="DA1314" s="270">
        <v>-81.5</v>
      </c>
      <c r="DL1314" s="270">
        <v>1845</v>
      </c>
      <c r="DS1314" s="99">
        <v>1724</v>
      </c>
      <c r="DT1314" s="99">
        <f t="shared" si="22"/>
        <v>1724</v>
      </c>
    </row>
    <row r="1315" spans="1:124" ht="88.5" customHeight="1" x14ac:dyDescent="0.3">
      <c r="A1315" s="143" t="s">
        <v>313</v>
      </c>
      <c r="B1315" s="13">
        <v>936</v>
      </c>
      <c r="C1315" s="6" t="s">
        <v>130</v>
      </c>
      <c r="D1315" s="6" t="s">
        <v>115</v>
      </c>
      <c r="E1315" s="14" t="s">
        <v>314</v>
      </c>
      <c r="F1315" s="14" t="s">
        <v>50</v>
      </c>
      <c r="G1315" s="57">
        <f>G1316+G1342</f>
        <v>144.30000000000001</v>
      </c>
      <c r="H1315" s="116"/>
      <c r="I1315" s="117"/>
      <c r="J1315" s="116"/>
      <c r="K1315" s="80"/>
      <c r="L1315" s="79"/>
      <c r="M1315" s="79"/>
      <c r="Q1315" s="89"/>
      <c r="R1315" s="88"/>
      <c r="AG1315" s="79"/>
      <c r="AH1315" s="79"/>
      <c r="DT1315" s="99">
        <f t="shared" si="22"/>
        <v>0</v>
      </c>
    </row>
    <row r="1316" spans="1:124" ht="45.75" customHeight="1" x14ac:dyDescent="0.3">
      <c r="A1316" s="143" t="s">
        <v>264</v>
      </c>
      <c r="B1316" s="13">
        <v>936</v>
      </c>
      <c r="C1316" s="6" t="s">
        <v>130</v>
      </c>
      <c r="D1316" s="6" t="s">
        <v>115</v>
      </c>
      <c r="E1316" s="14" t="s">
        <v>314</v>
      </c>
      <c r="F1316" s="14" t="s">
        <v>261</v>
      </c>
      <c r="G1316" s="72">
        <f>DT1316</f>
        <v>144.30000000000001</v>
      </c>
      <c r="H1316" s="116"/>
      <c r="I1316" s="117"/>
      <c r="J1316" s="116"/>
      <c r="K1316" s="80"/>
      <c r="L1316" s="79"/>
      <c r="M1316" s="79"/>
      <c r="N1316" s="89"/>
      <c r="AG1316" s="79"/>
      <c r="AH1316" s="79"/>
      <c r="AK1316" s="79">
        <v>32</v>
      </c>
      <c r="CR1316" s="99">
        <v>144.30000000000001</v>
      </c>
      <c r="DC1316" s="194">
        <v>144.30000000000001</v>
      </c>
      <c r="DS1316" s="99">
        <v>144.30000000000001</v>
      </c>
      <c r="DT1316" s="99">
        <f t="shared" si="22"/>
        <v>144.30000000000001</v>
      </c>
    </row>
    <row r="1317" spans="1:124" ht="56.25" hidden="1" x14ac:dyDescent="0.3">
      <c r="A1317" s="162" t="s">
        <v>378</v>
      </c>
      <c r="B1317" s="13">
        <v>936</v>
      </c>
      <c r="C1317" s="6" t="s">
        <v>130</v>
      </c>
      <c r="D1317" s="6" t="s">
        <v>115</v>
      </c>
      <c r="E1317" s="14" t="s">
        <v>432</v>
      </c>
      <c r="F1317" s="14" t="s">
        <v>50</v>
      </c>
      <c r="G1317" s="72">
        <f>G1318</f>
        <v>0</v>
      </c>
      <c r="H1317" s="116"/>
      <c r="I1317" s="117"/>
      <c r="J1317" s="116"/>
      <c r="K1317" s="80"/>
      <c r="L1317" s="79"/>
      <c r="M1317" s="79"/>
      <c r="N1317" s="89"/>
      <c r="AG1317" s="79"/>
      <c r="AH1317" s="79"/>
      <c r="DT1317" s="99">
        <f t="shared" si="22"/>
        <v>0</v>
      </c>
    </row>
    <row r="1318" spans="1:124" ht="56.25" hidden="1" outlineLevel="1" x14ac:dyDescent="0.3">
      <c r="A1318" s="143" t="s">
        <v>405</v>
      </c>
      <c r="B1318" s="13">
        <v>936</v>
      </c>
      <c r="C1318" s="6" t="s">
        <v>130</v>
      </c>
      <c r="D1318" s="6" t="s">
        <v>115</v>
      </c>
      <c r="E1318" s="14" t="s">
        <v>406</v>
      </c>
      <c r="F1318" s="14" t="s">
        <v>50</v>
      </c>
      <c r="G1318" s="72">
        <f>G1319</f>
        <v>0</v>
      </c>
      <c r="H1318" s="116"/>
      <c r="I1318" s="117"/>
      <c r="J1318" s="116"/>
      <c r="K1318" s="80"/>
      <c r="L1318" s="79"/>
      <c r="M1318" s="79"/>
      <c r="N1318" s="89"/>
      <c r="AG1318" s="79"/>
      <c r="AH1318" s="79"/>
      <c r="DT1318" s="99">
        <f t="shared" si="22"/>
        <v>0</v>
      </c>
    </row>
    <row r="1319" spans="1:124" ht="36" hidden="1" customHeight="1" outlineLevel="1" x14ac:dyDescent="0.3">
      <c r="A1319" s="143" t="s">
        <v>264</v>
      </c>
      <c r="B1319" s="13">
        <v>936</v>
      </c>
      <c r="C1319" s="6" t="s">
        <v>130</v>
      </c>
      <c r="D1319" s="6" t="s">
        <v>115</v>
      </c>
      <c r="E1319" s="14" t="s">
        <v>406</v>
      </c>
      <c r="F1319" s="14" t="s">
        <v>261</v>
      </c>
      <c r="G1319" s="72">
        <f>2.6-0.858-1.742</f>
        <v>0</v>
      </c>
      <c r="H1319" s="116"/>
      <c r="I1319" s="117"/>
      <c r="J1319" s="116"/>
      <c r="K1319" s="80"/>
      <c r="L1319" s="79"/>
      <c r="M1319" s="79"/>
      <c r="N1319" s="89"/>
      <c r="AG1319" s="79"/>
      <c r="AH1319" s="79"/>
      <c r="DT1319" s="99">
        <f t="shared" si="22"/>
        <v>0</v>
      </c>
    </row>
    <row r="1320" spans="1:124" ht="56.25" hidden="1" x14ac:dyDescent="0.3">
      <c r="A1320" s="156" t="s">
        <v>11</v>
      </c>
      <c r="B1320" s="13">
        <v>936</v>
      </c>
      <c r="C1320" s="6" t="s">
        <v>130</v>
      </c>
      <c r="D1320" s="6" t="s">
        <v>115</v>
      </c>
      <c r="E1320" s="15" t="s">
        <v>29</v>
      </c>
      <c r="F1320" s="14" t="s">
        <v>50</v>
      </c>
      <c r="G1320" s="57" t="e">
        <f>#REF!</f>
        <v>#REF!</v>
      </c>
      <c r="H1320" s="116"/>
      <c r="I1320" s="117"/>
      <c r="J1320" s="116"/>
      <c r="K1320" s="80"/>
      <c r="L1320" s="79"/>
      <c r="M1320" s="79"/>
      <c r="N1320" s="89"/>
      <c r="AG1320" s="79"/>
      <c r="AH1320" s="79"/>
      <c r="DT1320" s="99">
        <f t="shared" si="22"/>
        <v>0</v>
      </c>
    </row>
    <row r="1321" spans="1:124" ht="39" hidden="1" customHeight="1" x14ac:dyDescent="0.3">
      <c r="A1321" s="143" t="s">
        <v>264</v>
      </c>
      <c r="B1321" s="13">
        <v>936</v>
      </c>
      <c r="C1321" s="6" t="s">
        <v>130</v>
      </c>
      <c r="D1321" s="6" t="s">
        <v>115</v>
      </c>
      <c r="E1321" s="14" t="s">
        <v>314</v>
      </c>
      <c r="F1321" s="14" t="s">
        <v>261</v>
      </c>
      <c r="G1321" s="72">
        <v>0</v>
      </c>
      <c r="H1321" s="116"/>
      <c r="I1321" s="117"/>
      <c r="J1321" s="116"/>
      <c r="K1321" s="80"/>
      <c r="L1321" s="79"/>
      <c r="M1321" s="79"/>
      <c r="N1321" s="89"/>
      <c r="AG1321" s="79"/>
      <c r="AH1321" s="79"/>
      <c r="DT1321" s="99">
        <f t="shared" si="22"/>
        <v>0</v>
      </c>
    </row>
    <row r="1322" spans="1:124" ht="56.25" hidden="1" x14ac:dyDescent="0.3">
      <c r="A1322" s="143" t="s">
        <v>253</v>
      </c>
      <c r="B1322" s="13">
        <v>936</v>
      </c>
      <c r="C1322" s="6" t="s">
        <v>130</v>
      </c>
      <c r="D1322" s="6" t="s">
        <v>115</v>
      </c>
      <c r="E1322" s="14" t="s">
        <v>255</v>
      </c>
      <c r="F1322" s="14" t="s">
        <v>50</v>
      </c>
      <c r="G1322" s="57">
        <f>G1323</f>
        <v>0</v>
      </c>
      <c r="H1322" s="116"/>
      <c r="I1322" s="117"/>
      <c r="J1322" s="116"/>
      <c r="K1322" s="80"/>
      <c r="L1322" s="79"/>
      <c r="M1322" s="79"/>
      <c r="N1322" s="89"/>
      <c r="AG1322" s="79"/>
      <c r="AH1322" s="79"/>
      <c r="DT1322" s="99">
        <f t="shared" si="22"/>
        <v>0</v>
      </c>
    </row>
    <row r="1323" spans="1:124" ht="56.25" hidden="1" x14ac:dyDescent="0.3">
      <c r="A1323" s="156" t="s">
        <v>161</v>
      </c>
      <c r="B1323" s="13">
        <v>936</v>
      </c>
      <c r="C1323" s="6" t="s">
        <v>130</v>
      </c>
      <c r="D1323" s="6" t="s">
        <v>115</v>
      </c>
      <c r="E1323" s="15" t="s">
        <v>99</v>
      </c>
      <c r="F1323" s="14" t="s">
        <v>50</v>
      </c>
      <c r="G1323" s="57">
        <f>G1324</f>
        <v>0</v>
      </c>
      <c r="H1323" s="116"/>
      <c r="I1323" s="117"/>
      <c r="J1323" s="116"/>
      <c r="K1323" s="80"/>
      <c r="L1323" s="79"/>
      <c r="M1323" s="79"/>
      <c r="N1323" s="89"/>
      <c r="AG1323" s="79"/>
      <c r="AH1323" s="79"/>
      <c r="DT1323" s="99">
        <f t="shared" si="22"/>
        <v>0</v>
      </c>
    </row>
    <row r="1324" spans="1:124" ht="37.5" hidden="1" x14ac:dyDescent="0.3">
      <c r="A1324" s="215" t="s">
        <v>131</v>
      </c>
      <c r="B1324" s="12">
        <v>936</v>
      </c>
      <c r="C1324" s="19" t="s">
        <v>130</v>
      </c>
      <c r="D1324" s="19" t="s">
        <v>121</v>
      </c>
      <c r="E1324" s="9" t="s">
        <v>49</v>
      </c>
      <c r="F1324" s="9" t="s">
        <v>50</v>
      </c>
      <c r="G1324" s="68">
        <f>G1325</f>
        <v>0</v>
      </c>
      <c r="H1324" s="116"/>
      <c r="I1324" s="117"/>
      <c r="J1324" s="116"/>
      <c r="K1324" s="80"/>
      <c r="L1324" s="79"/>
      <c r="M1324" s="79"/>
      <c r="N1324" s="89"/>
      <c r="AG1324" s="79"/>
      <c r="AH1324" s="79"/>
      <c r="DT1324" s="99">
        <f t="shared" si="22"/>
        <v>0</v>
      </c>
    </row>
    <row r="1325" spans="1:124" ht="42.75" hidden="1" customHeight="1" x14ac:dyDescent="0.3">
      <c r="A1325" s="143" t="s">
        <v>249</v>
      </c>
      <c r="B1325" s="13">
        <v>936</v>
      </c>
      <c r="C1325" s="6" t="s">
        <v>130</v>
      </c>
      <c r="D1325" s="6" t="s">
        <v>115</v>
      </c>
      <c r="E1325" s="14" t="s">
        <v>254</v>
      </c>
      <c r="F1325" s="14" t="s">
        <v>50</v>
      </c>
      <c r="G1325" s="57">
        <f>G1329</f>
        <v>0</v>
      </c>
      <c r="H1325" s="116"/>
      <c r="I1325" s="117"/>
      <c r="J1325" s="116"/>
      <c r="K1325" s="80"/>
      <c r="L1325" s="79"/>
      <c r="M1325" s="79"/>
      <c r="N1325" s="89"/>
      <c r="AG1325" s="79"/>
      <c r="AH1325" s="79"/>
      <c r="DT1325" s="99">
        <f t="shared" si="22"/>
        <v>0</v>
      </c>
    </row>
    <row r="1326" spans="1:124" ht="42.75" hidden="1" customHeight="1" x14ac:dyDescent="0.3">
      <c r="A1326" s="220" t="s">
        <v>158</v>
      </c>
      <c r="B1326" s="13">
        <v>936</v>
      </c>
      <c r="C1326" s="6" t="s">
        <v>130</v>
      </c>
      <c r="D1326" s="6" t="s">
        <v>121</v>
      </c>
      <c r="E1326" s="14" t="s">
        <v>85</v>
      </c>
      <c r="F1326" s="14" t="s">
        <v>50</v>
      </c>
      <c r="G1326" s="57">
        <v>0</v>
      </c>
      <c r="H1326" s="116"/>
      <c r="I1326" s="117"/>
      <c r="J1326" s="116"/>
      <c r="K1326" s="80"/>
      <c r="L1326" s="79"/>
      <c r="M1326" s="79"/>
      <c r="N1326" s="89"/>
      <c r="AG1326" s="79"/>
      <c r="AH1326" s="79"/>
      <c r="DT1326" s="99">
        <f t="shared" si="22"/>
        <v>0</v>
      </c>
    </row>
    <row r="1327" spans="1:124" ht="72" hidden="1" customHeight="1" x14ac:dyDescent="0.3">
      <c r="A1327" s="220" t="s">
        <v>142</v>
      </c>
      <c r="B1327" s="13">
        <v>936</v>
      </c>
      <c r="C1327" s="6" t="s">
        <v>130</v>
      </c>
      <c r="D1327" s="6" t="s">
        <v>121</v>
      </c>
      <c r="E1327" s="14" t="s">
        <v>86</v>
      </c>
      <c r="F1327" s="14" t="s">
        <v>50</v>
      </c>
      <c r="G1327" s="57" t="e">
        <v>#REF!</v>
      </c>
      <c r="H1327" s="116"/>
      <c r="I1327" s="117"/>
      <c r="J1327" s="116"/>
      <c r="K1327" s="80"/>
      <c r="L1327" s="79"/>
      <c r="M1327" s="79"/>
      <c r="N1327" s="89"/>
      <c r="AG1327" s="79"/>
      <c r="AH1327" s="79"/>
      <c r="DT1327" s="99">
        <f t="shared" si="22"/>
        <v>0</v>
      </c>
    </row>
    <row r="1328" spans="1:124" ht="42.75" hidden="1" customHeight="1" x14ac:dyDescent="0.3">
      <c r="A1328" s="220" t="s">
        <v>62</v>
      </c>
      <c r="B1328" s="13">
        <v>936</v>
      </c>
      <c r="C1328" s="6" t="s">
        <v>130</v>
      </c>
      <c r="D1328" s="6" t="s">
        <v>115</v>
      </c>
      <c r="E1328" s="14" t="s">
        <v>310</v>
      </c>
      <c r="F1328" s="14" t="s">
        <v>50</v>
      </c>
      <c r="G1328" s="57" t="e">
        <v>#REF!</v>
      </c>
      <c r="H1328" s="116"/>
      <c r="I1328" s="117"/>
      <c r="J1328" s="116"/>
      <c r="K1328" s="80"/>
      <c r="L1328" s="79"/>
      <c r="M1328" s="79"/>
      <c r="N1328" s="89"/>
      <c r="AG1328" s="79"/>
      <c r="AH1328" s="79"/>
      <c r="DT1328" s="99">
        <f t="shared" si="22"/>
        <v>0</v>
      </c>
    </row>
    <row r="1329" spans="1:124" ht="37.5" hidden="1" customHeight="1" x14ac:dyDescent="0.3">
      <c r="A1329" s="220" t="s">
        <v>409</v>
      </c>
      <c r="B1329" s="13">
        <v>936</v>
      </c>
      <c r="C1329" s="6" t="s">
        <v>130</v>
      </c>
      <c r="D1329" s="6" t="s">
        <v>121</v>
      </c>
      <c r="E1329" s="14" t="s">
        <v>90</v>
      </c>
      <c r="F1329" s="14" t="s">
        <v>50</v>
      </c>
      <c r="G1329" s="57">
        <f>G1330</f>
        <v>0</v>
      </c>
      <c r="H1329" s="116"/>
      <c r="I1329" s="117"/>
      <c r="J1329" s="116"/>
      <c r="K1329" s="80"/>
      <c r="L1329" s="79"/>
      <c r="M1329" s="79"/>
      <c r="N1329" s="89"/>
      <c r="AG1329" s="79"/>
      <c r="AH1329" s="79"/>
      <c r="DT1329" s="99">
        <f t="shared" si="22"/>
        <v>0</v>
      </c>
    </row>
    <row r="1330" spans="1:124" ht="51" hidden="1" customHeight="1" x14ac:dyDescent="0.3">
      <c r="A1330" s="143" t="s">
        <v>264</v>
      </c>
      <c r="B1330" s="13">
        <v>936</v>
      </c>
      <c r="C1330" s="6" t="s">
        <v>130</v>
      </c>
      <c r="D1330" s="6" t="s">
        <v>115</v>
      </c>
      <c r="E1330" s="14" t="s">
        <v>255</v>
      </c>
      <c r="F1330" s="14" t="s">
        <v>261</v>
      </c>
      <c r="G1330" s="57">
        <v>0</v>
      </c>
      <c r="H1330" s="116"/>
      <c r="I1330" s="117"/>
      <c r="J1330" s="116"/>
      <c r="K1330" s="80"/>
      <c r="L1330" s="79"/>
      <c r="M1330" s="79"/>
      <c r="N1330" s="89"/>
      <c r="AG1330" s="79"/>
      <c r="AH1330" s="79"/>
      <c r="DT1330" s="99">
        <f t="shared" si="22"/>
        <v>0</v>
      </c>
    </row>
    <row r="1331" spans="1:124" ht="63" hidden="1" customHeight="1" x14ac:dyDescent="0.3">
      <c r="A1331" s="143" t="s">
        <v>425</v>
      </c>
      <c r="B1331" s="13">
        <v>936</v>
      </c>
      <c r="C1331" s="6" t="s">
        <v>130</v>
      </c>
      <c r="D1331" s="6" t="s">
        <v>121</v>
      </c>
      <c r="E1331" s="15" t="s">
        <v>498</v>
      </c>
      <c r="F1331" s="14" t="s">
        <v>59</v>
      </c>
      <c r="G1331" s="57">
        <v>0</v>
      </c>
      <c r="H1331" s="116"/>
      <c r="I1331" s="117"/>
      <c r="J1331" s="116"/>
      <c r="K1331" s="80"/>
      <c r="L1331" s="79"/>
      <c r="M1331" s="79"/>
      <c r="N1331" s="89"/>
      <c r="AG1331" s="79"/>
      <c r="AH1331" s="79"/>
      <c r="DT1331" s="99">
        <f t="shared" si="22"/>
        <v>0</v>
      </c>
    </row>
    <row r="1332" spans="1:124" ht="42.75" hidden="1" customHeight="1" x14ac:dyDescent="0.3">
      <c r="A1332" s="155" t="s">
        <v>38</v>
      </c>
      <c r="B1332" s="12">
        <v>936</v>
      </c>
      <c r="C1332" s="41" t="s">
        <v>128</v>
      </c>
      <c r="D1332" s="95" t="s">
        <v>123</v>
      </c>
      <c r="E1332" s="21" t="s">
        <v>25</v>
      </c>
      <c r="F1332" s="9" t="s">
        <v>50</v>
      </c>
      <c r="G1332" s="68">
        <f>G1333</f>
        <v>0</v>
      </c>
      <c r="H1332" s="116"/>
      <c r="I1332" s="117"/>
      <c r="J1332" s="116"/>
      <c r="K1332" s="80"/>
      <c r="L1332" s="79"/>
      <c r="M1332" s="79"/>
      <c r="N1332" s="89"/>
      <c r="AG1332" s="79"/>
      <c r="AH1332" s="79"/>
      <c r="DT1332" s="99">
        <f t="shared" si="22"/>
        <v>0</v>
      </c>
    </row>
    <row r="1333" spans="1:124" ht="66.75" hidden="1" customHeight="1" x14ac:dyDescent="0.3">
      <c r="A1333" s="143" t="s">
        <v>521</v>
      </c>
      <c r="B1333" s="13">
        <v>936</v>
      </c>
      <c r="C1333" s="6" t="s">
        <v>128</v>
      </c>
      <c r="D1333" s="6" t="s">
        <v>128</v>
      </c>
      <c r="E1333" s="14" t="s">
        <v>520</v>
      </c>
      <c r="F1333" s="14"/>
      <c r="G1333" s="57"/>
      <c r="H1333" s="116"/>
      <c r="I1333" s="117"/>
      <c r="J1333" s="116"/>
      <c r="K1333" s="80"/>
      <c r="L1333" s="79"/>
      <c r="M1333" s="79"/>
      <c r="N1333" s="89"/>
      <c r="AG1333" s="79"/>
      <c r="AH1333" s="79"/>
      <c r="DT1333" s="99">
        <f t="shared" si="22"/>
        <v>0</v>
      </c>
    </row>
    <row r="1334" spans="1:124" ht="51.75" hidden="1" customHeight="1" x14ac:dyDescent="0.3">
      <c r="A1334" s="155" t="s">
        <v>52</v>
      </c>
      <c r="B1334" s="9" t="s">
        <v>285</v>
      </c>
      <c r="C1334" s="41" t="s">
        <v>128</v>
      </c>
      <c r="D1334" s="95" t="s">
        <v>123</v>
      </c>
      <c r="E1334" s="9" t="s">
        <v>53</v>
      </c>
      <c r="F1334" s="9" t="s">
        <v>50</v>
      </c>
      <c r="G1334" s="68" t="e">
        <f>G1335</f>
        <v>#REF!</v>
      </c>
      <c r="H1334" s="116"/>
      <c r="I1334" s="117"/>
      <c r="J1334" s="116"/>
      <c r="K1334" s="80"/>
      <c r="L1334" s="79"/>
      <c r="M1334" s="79"/>
      <c r="N1334" s="89"/>
      <c r="AG1334" s="79"/>
      <c r="AH1334" s="79"/>
      <c r="DT1334" s="99">
        <f t="shared" si="22"/>
        <v>0</v>
      </c>
    </row>
    <row r="1335" spans="1:124" ht="68.25" hidden="1" customHeight="1" x14ac:dyDescent="0.3">
      <c r="A1335" s="155" t="s">
        <v>487</v>
      </c>
      <c r="B1335" s="12">
        <v>936</v>
      </c>
      <c r="C1335" s="19" t="s">
        <v>128</v>
      </c>
      <c r="D1335" s="19" t="s">
        <v>123</v>
      </c>
      <c r="E1335" s="9" t="s">
        <v>486</v>
      </c>
      <c r="F1335" s="9" t="s">
        <v>50</v>
      </c>
      <c r="G1335" s="68" t="e">
        <f>G1341+G1336</f>
        <v>#REF!</v>
      </c>
      <c r="H1335" s="116"/>
      <c r="I1335" s="117"/>
      <c r="J1335" s="116"/>
      <c r="K1335" s="80"/>
      <c r="L1335" s="79"/>
      <c r="M1335" s="79"/>
      <c r="N1335" s="89"/>
      <c r="AG1335" s="79"/>
      <c r="AH1335" s="79"/>
      <c r="DT1335" s="99">
        <f t="shared" si="22"/>
        <v>0</v>
      </c>
    </row>
    <row r="1336" spans="1:124" ht="48.75" hidden="1" customHeight="1" x14ac:dyDescent="0.3">
      <c r="A1336" s="155" t="s">
        <v>264</v>
      </c>
      <c r="B1336" s="9" t="s">
        <v>285</v>
      </c>
      <c r="C1336" s="41" t="s">
        <v>128</v>
      </c>
      <c r="D1336" s="95" t="s">
        <v>123</v>
      </c>
      <c r="E1336" s="9" t="s">
        <v>39</v>
      </c>
      <c r="F1336" s="9" t="s">
        <v>261</v>
      </c>
      <c r="G1336" s="68">
        <v>0</v>
      </c>
      <c r="H1336" s="116"/>
      <c r="I1336" s="117"/>
      <c r="J1336" s="116"/>
      <c r="K1336" s="80"/>
      <c r="L1336" s="79"/>
      <c r="M1336" s="79"/>
      <c r="N1336" s="89"/>
      <c r="AG1336" s="79"/>
      <c r="AH1336" s="79"/>
      <c r="DT1336" s="99">
        <f t="shared" si="22"/>
        <v>0</v>
      </c>
    </row>
    <row r="1337" spans="1:124" ht="35.25" hidden="1" customHeight="1" x14ac:dyDescent="0.3">
      <c r="A1337" s="169" t="s">
        <v>138</v>
      </c>
      <c r="B1337" s="12">
        <v>936</v>
      </c>
      <c r="C1337" s="41" t="s">
        <v>128</v>
      </c>
      <c r="D1337" s="95" t="s">
        <v>123</v>
      </c>
      <c r="E1337" s="21" t="s">
        <v>51</v>
      </c>
      <c r="F1337" s="9" t="s">
        <v>50</v>
      </c>
      <c r="G1337" s="68">
        <f>G1338</f>
        <v>0</v>
      </c>
      <c r="H1337" s="116"/>
      <c r="I1337" s="117"/>
      <c r="J1337" s="116"/>
      <c r="K1337" s="80"/>
      <c r="L1337" s="79"/>
      <c r="M1337" s="79"/>
      <c r="N1337" s="89"/>
      <c r="AG1337" s="79"/>
      <c r="AH1337" s="79"/>
      <c r="DT1337" s="99">
        <f t="shared" si="22"/>
        <v>0</v>
      </c>
    </row>
    <row r="1338" spans="1:124" ht="51.75" hidden="1" customHeight="1" x14ac:dyDescent="0.3">
      <c r="A1338" s="155" t="s">
        <v>409</v>
      </c>
      <c r="B1338" s="12">
        <v>936</v>
      </c>
      <c r="C1338" s="41" t="s">
        <v>128</v>
      </c>
      <c r="D1338" s="95" t="s">
        <v>123</v>
      </c>
      <c r="E1338" s="9" t="s">
        <v>44</v>
      </c>
      <c r="F1338" s="9" t="s">
        <v>50</v>
      </c>
      <c r="G1338" s="68">
        <f>G1339</f>
        <v>0</v>
      </c>
      <c r="H1338" s="116"/>
      <c r="I1338" s="117"/>
      <c r="J1338" s="116"/>
      <c r="K1338" s="80"/>
      <c r="L1338" s="79"/>
      <c r="M1338" s="79"/>
      <c r="N1338" s="89"/>
      <c r="AG1338" s="79"/>
      <c r="AH1338" s="79"/>
      <c r="DT1338" s="99">
        <f t="shared" si="22"/>
        <v>0</v>
      </c>
    </row>
    <row r="1339" spans="1:124" ht="60.75" hidden="1" customHeight="1" x14ac:dyDescent="0.3">
      <c r="A1339" s="155" t="s">
        <v>73</v>
      </c>
      <c r="B1339" s="9" t="s">
        <v>285</v>
      </c>
      <c r="C1339" s="41" t="s">
        <v>128</v>
      </c>
      <c r="D1339" s="95" t="s">
        <v>123</v>
      </c>
      <c r="E1339" s="9" t="s">
        <v>39</v>
      </c>
      <c r="F1339" s="9" t="s">
        <v>50</v>
      </c>
      <c r="G1339" s="68">
        <f>G1340</f>
        <v>0</v>
      </c>
      <c r="H1339" s="116"/>
      <c r="I1339" s="117"/>
      <c r="J1339" s="116"/>
      <c r="K1339" s="80"/>
      <c r="L1339" s="79"/>
      <c r="M1339" s="79"/>
      <c r="N1339" s="89"/>
      <c r="AG1339" s="79"/>
      <c r="AH1339" s="79"/>
      <c r="DT1339" s="99">
        <f t="shared" si="22"/>
        <v>0</v>
      </c>
    </row>
    <row r="1340" spans="1:124" ht="28.5" hidden="1" customHeight="1" x14ac:dyDescent="0.3">
      <c r="A1340" s="155" t="s">
        <v>425</v>
      </c>
      <c r="B1340" s="12">
        <v>936</v>
      </c>
      <c r="C1340" s="19" t="s">
        <v>128</v>
      </c>
      <c r="D1340" s="19" t="s">
        <v>123</v>
      </c>
      <c r="E1340" s="9" t="s">
        <v>489</v>
      </c>
      <c r="F1340" s="9" t="s">
        <v>59</v>
      </c>
      <c r="G1340" s="68">
        <v>0</v>
      </c>
      <c r="H1340" s="116"/>
      <c r="I1340" s="117"/>
      <c r="J1340" s="116"/>
      <c r="K1340" s="80"/>
      <c r="L1340" s="79"/>
      <c r="M1340" s="79"/>
      <c r="N1340" s="89"/>
      <c r="AG1340" s="79"/>
      <c r="AH1340" s="79"/>
      <c r="DT1340" s="99">
        <f t="shared" si="22"/>
        <v>0</v>
      </c>
    </row>
    <row r="1341" spans="1:124" ht="104.25" hidden="1" customHeight="1" x14ac:dyDescent="0.3">
      <c r="A1341" s="221" t="s">
        <v>16</v>
      </c>
      <c r="B1341" s="12">
        <v>936</v>
      </c>
      <c r="C1341" s="41" t="s">
        <v>128</v>
      </c>
      <c r="D1341" s="95" t="s">
        <v>123</v>
      </c>
      <c r="E1341" s="21" t="s">
        <v>32</v>
      </c>
      <c r="F1341" s="21" t="s">
        <v>50</v>
      </c>
      <c r="G1341" s="68" t="e">
        <f>#REF!</f>
        <v>#REF!</v>
      </c>
      <c r="H1341" s="116"/>
      <c r="I1341" s="117"/>
      <c r="J1341" s="116"/>
      <c r="K1341" s="80"/>
      <c r="L1341" s="79"/>
      <c r="M1341" s="79"/>
      <c r="N1341" s="89"/>
      <c r="AG1341" s="79"/>
      <c r="AH1341" s="79"/>
      <c r="DT1341" s="99">
        <f t="shared" si="22"/>
        <v>0</v>
      </c>
    </row>
    <row r="1342" spans="1:124" ht="44.25" hidden="1" customHeight="1" x14ac:dyDescent="0.3">
      <c r="A1342" s="143" t="s">
        <v>264</v>
      </c>
      <c r="B1342" s="31" t="s">
        <v>285</v>
      </c>
      <c r="C1342" s="31" t="s">
        <v>130</v>
      </c>
      <c r="D1342" s="30" t="s">
        <v>115</v>
      </c>
      <c r="E1342" s="14" t="s">
        <v>314</v>
      </c>
      <c r="F1342" s="15" t="s">
        <v>261</v>
      </c>
      <c r="G1342" s="57">
        <v>0</v>
      </c>
      <c r="H1342" s="116">
        <v>90</v>
      </c>
      <c r="I1342" s="117"/>
      <c r="J1342" s="116"/>
      <c r="K1342" s="80"/>
      <c r="L1342" s="79"/>
      <c r="M1342" s="79">
        <v>140</v>
      </c>
      <c r="N1342" s="89"/>
      <c r="AE1342">
        <v>12.5</v>
      </c>
      <c r="AG1342" s="79"/>
      <c r="AH1342" s="79">
        <v>0.02</v>
      </c>
      <c r="AK1342" s="79">
        <v>150</v>
      </c>
      <c r="BE1342" s="226">
        <v>90</v>
      </c>
      <c r="DT1342" s="99">
        <f t="shared" si="22"/>
        <v>0</v>
      </c>
    </row>
    <row r="1343" spans="1:124" ht="45" hidden="1" customHeight="1" x14ac:dyDescent="0.3">
      <c r="A1343" s="156" t="s">
        <v>161</v>
      </c>
      <c r="B1343" s="31" t="s">
        <v>285</v>
      </c>
      <c r="C1343" s="31" t="s">
        <v>130</v>
      </c>
      <c r="D1343" s="30" t="s">
        <v>115</v>
      </c>
      <c r="E1343" s="15" t="s">
        <v>99</v>
      </c>
      <c r="F1343" s="31" t="s">
        <v>50</v>
      </c>
      <c r="G1343" s="57">
        <f>G1344</f>
        <v>0</v>
      </c>
      <c r="H1343" s="116"/>
      <c r="I1343" s="117"/>
      <c r="J1343" s="116"/>
      <c r="K1343" s="80"/>
      <c r="L1343" s="79"/>
      <c r="M1343" s="79"/>
      <c r="N1343" s="89"/>
      <c r="AG1343" s="79"/>
      <c r="AH1343" s="79"/>
      <c r="DT1343" s="99">
        <f t="shared" si="22"/>
        <v>0</v>
      </c>
    </row>
    <row r="1344" spans="1:124" ht="66" hidden="1" customHeight="1" x14ac:dyDescent="0.3">
      <c r="A1344" s="156" t="s">
        <v>11</v>
      </c>
      <c r="B1344" s="13">
        <v>936</v>
      </c>
      <c r="C1344" s="14" t="s">
        <v>130</v>
      </c>
      <c r="D1344" s="14" t="s">
        <v>115</v>
      </c>
      <c r="E1344" s="15" t="s">
        <v>29</v>
      </c>
      <c r="F1344" s="14" t="s">
        <v>50</v>
      </c>
      <c r="G1344" s="57">
        <f>G1345+G1350+G1353+G1355</f>
        <v>0</v>
      </c>
      <c r="H1344" s="116"/>
      <c r="I1344" s="117"/>
      <c r="J1344" s="116"/>
      <c r="K1344" s="80"/>
      <c r="L1344" s="79"/>
      <c r="M1344" s="79"/>
      <c r="N1344" s="89"/>
      <c r="AG1344" s="79"/>
      <c r="AH1344" s="79"/>
      <c r="DT1344" s="99">
        <f t="shared" si="22"/>
        <v>0</v>
      </c>
    </row>
    <row r="1345" spans="1:124" ht="54" hidden="1" customHeight="1" x14ac:dyDescent="0.3">
      <c r="A1345" s="143" t="s">
        <v>249</v>
      </c>
      <c r="B1345" s="13">
        <v>936</v>
      </c>
      <c r="C1345" s="14" t="s">
        <v>130</v>
      </c>
      <c r="D1345" s="14" t="s">
        <v>115</v>
      </c>
      <c r="E1345" s="14" t="s">
        <v>254</v>
      </c>
      <c r="F1345" s="14" t="s">
        <v>50</v>
      </c>
      <c r="G1345" s="57">
        <f>G1346+G1348</f>
        <v>0</v>
      </c>
      <c r="H1345" s="116"/>
      <c r="I1345" s="117"/>
      <c r="J1345" s="116"/>
      <c r="K1345" s="80"/>
      <c r="L1345" s="79"/>
      <c r="M1345" s="79"/>
      <c r="N1345" s="89"/>
      <c r="AG1345" s="79"/>
      <c r="AH1345" s="79"/>
      <c r="DT1345" s="99">
        <f t="shared" si="22"/>
        <v>0</v>
      </c>
    </row>
    <row r="1346" spans="1:124" ht="136.5" hidden="1" customHeight="1" x14ac:dyDescent="0.3">
      <c r="A1346" s="143" t="s">
        <v>572</v>
      </c>
      <c r="B1346" s="13">
        <v>936</v>
      </c>
      <c r="C1346" s="14" t="s">
        <v>130</v>
      </c>
      <c r="D1346" s="14" t="s">
        <v>115</v>
      </c>
      <c r="E1346" s="15" t="s">
        <v>602</v>
      </c>
      <c r="F1346" s="14" t="s">
        <v>50</v>
      </c>
      <c r="G1346" s="57">
        <f>G1347</f>
        <v>0</v>
      </c>
      <c r="H1346" s="116"/>
      <c r="I1346" s="117"/>
      <c r="J1346" s="116"/>
      <c r="K1346" s="80"/>
      <c r="L1346" s="79"/>
      <c r="M1346" s="79"/>
      <c r="N1346" s="89"/>
      <c r="AG1346" s="79"/>
      <c r="AH1346" s="79"/>
      <c r="DT1346" s="99">
        <f t="shared" si="22"/>
        <v>0</v>
      </c>
    </row>
    <row r="1347" spans="1:124" ht="45.75" hidden="1" customHeight="1" x14ac:dyDescent="0.3">
      <c r="A1347" s="143" t="s">
        <v>425</v>
      </c>
      <c r="B1347" s="13">
        <v>936</v>
      </c>
      <c r="C1347" s="14" t="s">
        <v>130</v>
      </c>
      <c r="D1347" s="14" t="s">
        <v>115</v>
      </c>
      <c r="E1347" s="15" t="s">
        <v>602</v>
      </c>
      <c r="F1347" s="14" t="s">
        <v>59</v>
      </c>
      <c r="G1347" s="57">
        <v>0</v>
      </c>
      <c r="H1347" s="116"/>
      <c r="I1347" s="117"/>
      <c r="J1347" s="116"/>
      <c r="K1347" s="80"/>
      <c r="L1347" s="79"/>
      <c r="M1347" s="79"/>
      <c r="N1347" s="89" t="s">
        <v>582</v>
      </c>
      <c r="AG1347" s="79"/>
      <c r="AH1347" s="79"/>
      <c r="AK1347" s="79">
        <v>0</v>
      </c>
      <c r="DT1347" s="99">
        <f t="shared" si="22"/>
        <v>0</v>
      </c>
    </row>
    <row r="1348" spans="1:124" ht="129.75" hidden="1" customHeight="1" x14ac:dyDescent="0.3">
      <c r="A1348" s="143" t="s">
        <v>573</v>
      </c>
      <c r="B1348" s="13">
        <v>936</v>
      </c>
      <c r="C1348" s="14" t="s">
        <v>130</v>
      </c>
      <c r="D1348" s="14" t="s">
        <v>115</v>
      </c>
      <c r="E1348" s="15" t="s">
        <v>601</v>
      </c>
      <c r="F1348" s="14" t="s">
        <v>50</v>
      </c>
      <c r="G1348" s="57">
        <f>G1349</f>
        <v>0</v>
      </c>
      <c r="H1348" s="116"/>
      <c r="I1348" s="117"/>
      <c r="J1348" s="116"/>
      <c r="K1348" s="80"/>
      <c r="L1348" s="79"/>
      <c r="M1348" s="79"/>
      <c r="N1348" s="89"/>
      <c r="AG1348" s="79"/>
      <c r="AH1348" s="79"/>
      <c r="DT1348" s="99">
        <f t="shared" si="22"/>
        <v>0</v>
      </c>
    </row>
    <row r="1349" spans="1:124" ht="39.75" hidden="1" customHeight="1" x14ac:dyDescent="0.3">
      <c r="A1349" s="143" t="s">
        <v>264</v>
      </c>
      <c r="B1349" s="13">
        <v>936</v>
      </c>
      <c r="C1349" s="14" t="s">
        <v>130</v>
      </c>
      <c r="D1349" s="14" t="s">
        <v>115</v>
      </c>
      <c r="E1349" s="15" t="s">
        <v>601</v>
      </c>
      <c r="F1349" s="15" t="s">
        <v>261</v>
      </c>
      <c r="G1349" s="57">
        <v>0</v>
      </c>
      <c r="H1349" s="116"/>
      <c r="I1349" s="117"/>
      <c r="J1349" s="116"/>
      <c r="K1349" s="80">
        <v>1000</v>
      </c>
      <c r="L1349" s="79"/>
      <c r="M1349" s="79"/>
      <c r="N1349" s="89"/>
      <c r="AG1349" s="79"/>
      <c r="AH1349" s="79"/>
      <c r="AK1349" s="79">
        <v>0</v>
      </c>
      <c r="DT1349" s="99">
        <f t="shared" si="22"/>
        <v>0</v>
      </c>
    </row>
    <row r="1350" spans="1:124" ht="135.75" hidden="1" customHeight="1" x14ac:dyDescent="0.3">
      <c r="A1350" s="143" t="s">
        <v>572</v>
      </c>
      <c r="B1350" s="13">
        <v>936</v>
      </c>
      <c r="C1350" s="14" t="s">
        <v>130</v>
      </c>
      <c r="D1350" s="14" t="s">
        <v>115</v>
      </c>
      <c r="E1350" s="15" t="s">
        <v>599</v>
      </c>
      <c r="F1350" s="15" t="s">
        <v>50</v>
      </c>
      <c r="G1350" s="57">
        <f>G1352+G1351</f>
        <v>0</v>
      </c>
      <c r="H1350" s="116"/>
      <c r="I1350" s="117"/>
      <c r="J1350" s="116"/>
      <c r="K1350" s="80"/>
      <c r="L1350" s="79"/>
      <c r="M1350" s="79"/>
      <c r="N1350" s="89"/>
      <c r="AG1350" s="79"/>
      <c r="AH1350" s="79"/>
      <c r="DT1350" s="99">
        <f t="shared" si="22"/>
        <v>0</v>
      </c>
    </row>
    <row r="1351" spans="1:124" ht="52.5" hidden="1" customHeight="1" x14ac:dyDescent="0.3">
      <c r="A1351" s="143" t="s">
        <v>425</v>
      </c>
      <c r="B1351" s="13">
        <v>936</v>
      </c>
      <c r="C1351" s="14" t="s">
        <v>130</v>
      </c>
      <c r="D1351" s="14" t="s">
        <v>115</v>
      </c>
      <c r="E1351" s="15" t="s">
        <v>599</v>
      </c>
      <c r="F1351" s="15" t="s">
        <v>59</v>
      </c>
      <c r="G1351" s="57">
        <v>0</v>
      </c>
      <c r="H1351" s="116"/>
      <c r="I1351" s="117"/>
      <c r="J1351" s="116"/>
      <c r="K1351" s="80"/>
      <c r="L1351" s="79"/>
      <c r="M1351" s="79"/>
      <c r="N1351" s="89" t="s">
        <v>585</v>
      </c>
      <c r="AG1351" s="79"/>
      <c r="AH1351" s="79"/>
      <c r="AK1351" s="79">
        <v>0</v>
      </c>
      <c r="DT1351" s="99">
        <f t="shared" si="22"/>
        <v>0</v>
      </c>
    </row>
    <row r="1352" spans="1:124" ht="42" hidden="1" customHeight="1" x14ac:dyDescent="0.3">
      <c r="A1352" s="143" t="s">
        <v>264</v>
      </c>
      <c r="B1352" s="13">
        <v>936</v>
      </c>
      <c r="C1352" s="14" t="s">
        <v>130</v>
      </c>
      <c r="D1352" s="14" t="s">
        <v>115</v>
      </c>
      <c r="E1352" s="15" t="s">
        <v>599</v>
      </c>
      <c r="F1352" s="15" t="s">
        <v>261</v>
      </c>
      <c r="G1352" s="57">
        <f>M1352+N1352</f>
        <v>0</v>
      </c>
      <c r="H1352" s="116"/>
      <c r="I1352" s="117"/>
      <c r="J1352" s="116"/>
      <c r="K1352" s="80"/>
      <c r="L1352" s="79"/>
      <c r="M1352" s="79">
        <v>233.94900000000001</v>
      </c>
      <c r="N1352" s="89" t="s">
        <v>581</v>
      </c>
      <c r="AG1352" s="79"/>
      <c r="AH1352" s="79"/>
      <c r="AK1352" s="79">
        <v>0</v>
      </c>
      <c r="DT1352" s="99">
        <f t="shared" si="22"/>
        <v>0</v>
      </c>
    </row>
    <row r="1353" spans="1:124" ht="169.5" hidden="1" customHeight="1" x14ac:dyDescent="0.3">
      <c r="A1353" s="143" t="s">
        <v>573</v>
      </c>
      <c r="B1353" s="13">
        <v>936</v>
      </c>
      <c r="C1353" s="14" t="s">
        <v>130</v>
      </c>
      <c r="D1353" s="14" t="s">
        <v>115</v>
      </c>
      <c r="E1353" s="15" t="s">
        <v>598</v>
      </c>
      <c r="F1353" s="15" t="s">
        <v>50</v>
      </c>
      <c r="G1353" s="57">
        <f>G1354</f>
        <v>0</v>
      </c>
      <c r="H1353" s="116"/>
      <c r="I1353" s="117"/>
      <c r="J1353" s="116"/>
      <c r="K1353" s="80"/>
      <c r="L1353" s="79"/>
      <c r="M1353" s="79"/>
      <c r="N1353" s="89"/>
      <c r="AG1353" s="79"/>
      <c r="AH1353" s="79"/>
      <c r="DT1353" s="99">
        <f t="shared" si="22"/>
        <v>0</v>
      </c>
    </row>
    <row r="1354" spans="1:124" ht="40.5" hidden="1" customHeight="1" x14ac:dyDescent="0.3">
      <c r="A1354" s="143" t="s">
        <v>264</v>
      </c>
      <c r="B1354" s="13">
        <v>936</v>
      </c>
      <c r="C1354" s="14" t="s">
        <v>130</v>
      </c>
      <c r="D1354" s="14" t="s">
        <v>115</v>
      </c>
      <c r="E1354" s="15" t="s">
        <v>598</v>
      </c>
      <c r="F1354" s="15" t="s">
        <v>261</v>
      </c>
      <c r="G1354" s="72">
        <v>0</v>
      </c>
      <c r="H1354" s="116"/>
      <c r="I1354" s="117"/>
      <c r="J1354" s="116"/>
      <c r="K1354" s="80"/>
      <c r="L1354" s="79"/>
      <c r="M1354" s="79">
        <v>487.02300000000002</v>
      </c>
      <c r="N1354" s="89"/>
      <c r="AG1354" s="79"/>
      <c r="AH1354" s="79"/>
      <c r="AK1354" s="79">
        <v>0</v>
      </c>
      <c r="DT1354" s="99">
        <f t="shared" si="22"/>
        <v>0</v>
      </c>
    </row>
    <row r="1355" spans="1:124" ht="24.75" hidden="1" customHeight="1" x14ac:dyDescent="0.3">
      <c r="A1355" s="143" t="s">
        <v>62</v>
      </c>
      <c r="B1355" s="13">
        <v>936</v>
      </c>
      <c r="C1355" s="14" t="s">
        <v>130</v>
      </c>
      <c r="D1355" s="14" t="s">
        <v>115</v>
      </c>
      <c r="E1355" s="14" t="s">
        <v>251</v>
      </c>
      <c r="F1355" s="14" t="s">
        <v>50</v>
      </c>
      <c r="G1355" s="57">
        <f>G1356+G1359</f>
        <v>0</v>
      </c>
      <c r="H1355" s="116"/>
      <c r="I1355" s="117"/>
      <c r="J1355" s="116"/>
      <c r="K1355" s="80"/>
      <c r="L1355" s="79"/>
      <c r="M1355" s="79"/>
      <c r="N1355" s="89"/>
      <c r="AG1355" s="79"/>
      <c r="AH1355" s="79"/>
      <c r="DT1355" s="99">
        <f t="shared" si="22"/>
        <v>0</v>
      </c>
    </row>
    <row r="1356" spans="1:124" ht="117.75" hidden="1" customHeight="1" x14ac:dyDescent="0.3">
      <c r="A1356" s="143" t="s">
        <v>574</v>
      </c>
      <c r="B1356" s="13">
        <v>936</v>
      </c>
      <c r="C1356" s="14" t="s">
        <v>130</v>
      </c>
      <c r="D1356" s="14" t="s">
        <v>115</v>
      </c>
      <c r="E1356" s="15" t="s">
        <v>606</v>
      </c>
      <c r="F1356" s="14" t="s">
        <v>50</v>
      </c>
      <c r="G1356" s="57">
        <f>G1358+G1357</f>
        <v>0</v>
      </c>
      <c r="H1356" s="116"/>
      <c r="I1356" s="117"/>
      <c r="J1356" s="116"/>
      <c r="K1356" s="80"/>
      <c r="L1356" s="79"/>
      <c r="M1356" s="79"/>
      <c r="N1356" s="89"/>
      <c r="AG1356" s="79"/>
      <c r="AH1356" s="79"/>
      <c r="DT1356" s="99">
        <f t="shared" si="22"/>
        <v>0</v>
      </c>
    </row>
    <row r="1357" spans="1:124" ht="47.25" hidden="1" customHeight="1" x14ac:dyDescent="0.3">
      <c r="A1357" s="143" t="s">
        <v>425</v>
      </c>
      <c r="B1357" s="13">
        <v>936</v>
      </c>
      <c r="C1357" s="14" t="s">
        <v>130</v>
      </c>
      <c r="D1357" s="14" t="s">
        <v>115</v>
      </c>
      <c r="E1357" s="15" t="s">
        <v>606</v>
      </c>
      <c r="F1357" s="14" t="s">
        <v>59</v>
      </c>
      <c r="G1357" s="57">
        <v>0</v>
      </c>
      <c r="H1357" s="116"/>
      <c r="I1357" s="117"/>
      <c r="J1357" s="116"/>
      <c r="K1357" s="80"/>
      <c r="L1357" s="79"/>
      <c r="M1357" s="79"/>
      <c r="N1357" s="89" t="s">
        <v>583</v>
      </c>
      <c r="AG1357" s="79"/>
      <c r="AH1357" s="79"/>
      <c r="AK1357" s="79">
        <v>0</v>
      </c>
      <c r="DT1357" s="99">
        <f t="shared" si="22"/>
        <v>0</v>
      </c>
    </row>
    <row r="1358" spans="1:124" ht="46.5" hidden="1" customHeight="1" x14ac:dyDescent="0.3">
      <c r="A1358" s="143" t="s">
        <v>264</v>
      </c>
      <c r="B1358" s="13">
        <v>936</v>
      </c>
      <c r="C1358" s="14" t="s">
        <v>130</v>
      </c>
      <c r="D1358" s="14" t="s">
        <v>115</v>
      </c>
      <c r="E1358" s="15" t="s">
        <v>606</v>
      </c>
      <c r="F1358" s="15" t="s">
        <v>261</v>
      </c>
      <c r="G1358" s="57">
        <f>M1358+N1358</f>
        <v>0</v>
      </c>
      <c r="H1358" s="116"/>
      <c r="I1358" s="117"/>
      <c r="J1358" s="116"/>
      <c r="K1358" s="80"/>
      <c r="L1358" s="79"/>
      <c r="M1358" s="79">
        <v>170</v>
      </c>
      <c r="N1358" s="89" t="s">
        <v>580</v>
      </c>
      <c r="AG1358" s="79"/>
      <c r="AH1358" s="79"/>
      <c r="DT1358" s="99">
        <f t="shared" si="22"/>
        <v>0</v>
      </c>
    </row>
    <row r="1359" spans="1:124" ht="125.25" hidden="1" customHeight="1" x14ac:dyDescent="0.3">
      <c r="A1359" s="143" t="s">
        <v>575</v>
      </c>
      <c r="B1359" s="13">
        <v>936</v>
      </c>
      <c r="C1359" s="14" t="s">
        <v>130</v>
      </c>
      <c r="D1359" s="14" t="s">
        <v>115</v>
      </c>
      <c r="E1359" s="15" t="s">
        <v>605</v>
      </c>
      <c r="F1359" s="15" t="s">
        <v>50</v>
      </c>
      <c r="G1359" s="57">
        <f>G1360</f>
        <v>0</v>
      </c>
      <c r="H1359" s="116"/>
      <c r="I1359" s="117"/>
      <c r="J1359" s="116"/>
      <c r="K1359" s="80"/>
      <c r="L1359" s="79"/>
      <c r="M1359" s="79"/>
      <c r="N1359" s="89"/>
      <c r="AG1359" s="79"/>
      <c r="AH1359" s="79"/>
      <c r="DT1359" s="99">
        <f t="shared" si="22"/>
        <v>0</v>
      </c>
    </row>
    <row r="1360" spans="1:124" ht="36.75" hidden="1" customHeight="1" x14ac:dyDescent="0.3">
      <c r="A1360" s="143" t="s">
        <v>264</v>
      </c>
      <c r="B1360" s="13">
        <v>936</v>
      </c>
      <c r="C1360" s="14" t="s">
        <v>130</v>
      </c>
      <c r="D1360" s="14" t="s">
        <v>115</v>
      </c>
      <c r="E1360" s="15" t="s">
        <v>605</v>
      </c>
      <c r="F1360" s="15" t="s">
        <v>261</v>
      </c>
      <c r="G1360" s="57">
        <v>0</v>
      </c>
      <c r="H1360" s="116"/>
      <c r="I1360" s="117"/>
      <c r="J1360" s="116"/>
      <c r="K1360" s="80"/>
      <c r="L1360" s="79"/>
      <c r="M1360" s="79">
        <v>261</v>
      </c>
      <c r="N1360" s="89"/>
      <c r="AG1360" s="79"/>
      <c r="AH1360" s="79"/>
      <c r="AK1360" s="79">
        <v>0</v>
      </c>
      <c r="DT1360" s="99">
        <f t="shared" si="22"/>
        <v>0</v>
      </c>
    </row>
    <row r="1361" spans="1:124" ht="36.75" hidden="1" customHeight="1" x14ac:dyDescent="0.3">
      <c r="A1361" s="143" t="s">
        <v>697</v>
      </c>
      <c r="B1361" s="31" t="s">
        <v>285</v>
      </c>
      <c r="C1361" s="31" t="s">
        <v>130</v>
      </c>
      <c r="D1361" s="30" t="s">
        <v>115</v>
      </c>
      <c r="E1361" s="15" t="s">
        <v>557</v>
      </c>
      <c r="F1361" s="15" t="s">
        <v>50</v>
      </c>
      <c r="G1361" s="57">
        <f>G1365+G1362</f>
        <v>0</v>
      </c>
      <c r="H1361" s="116"/>
      <c r="I1361" s="117"/>
      <c r="J1361" s="116"/>
      <c r="K1361" s="80"/>
      <c r="L1361" s="79"/>
      <c r="M1361" s="79"/>
      <c r="N1361" s="89"/>
      <c r="AG1361" s="79"/>
      <c r="AH1361" s="79"/>
      <c r="DT1361" s="99">
        <f t="shared" si="22"/>
        <v>0</v>
      </c>
    </row>
    <row r="1362" spans="1:124" ht="36.75" hidden="1" customHeight="1" x14ac:dyDescent="0.3">
      <c r="A1362" s="143" t="s">
        <v>556</v>
      </c>
      <c r="B1362" s="31" t="s">
        <v>285</v>
      </c>
      <c r="C1362" s="31" t="s">
        <v>130</v>
      </c>
      <c r="D1362" s="30" t="s">
        <v>115</v>
      </c>
      <c r="E1362" s="15" t="s">
        <v>701</v>
      </c>
      <c r="F1362" s="15" t="s">
        <v>50</v>
      </c>
      <c r="G1362" s="57">
        <f>G1363</f>
        <v>0</v>
      </c>
      <c r="H1362" s="116"/>
      <c r="I1362" s="117"/>
      <c r="J1362" s="116"/>
      <c r="K1362" s="80"/>
      <c r="L1362" s="79"/>
      <c r="M1362" s="79"/>
      <c r="N1362" s="89"/>
      <c r="AG1362" s="79"/>
      <c r="AH1362" s="79"/>
      <c r="DT1362" s="99">
        <f t="shared" si="22"/>
        <v>0</v>
      </c>
    </row>
    <row r="1363" spans="1:124" ht="36.75" hidden="1" customHeight="1" x14ac:dyDescent="0.3">
      <c r="A1363" s="143" t="s">
        <v>703</v>
      </c>
      <c r="B1363" s="31" t="s">
        <v>285</v>
      </c>
      <c r="C1363" s="31" t="s">
        <v>130</v>
      </c>
      <c r="D1363" s="30" t="s">
        <v>115</v>
      </c>
      <c r="E1363" s="15" t="s">
        <v>702</v>
      </c>
      <c r="F1363" s="15" t="s">
        <v>50</v>
      </c>
      <c r="G1363" s="57">
        <f>G1364</f>
        <v>0</v>
      </c>
      <c r="H1363" s="116"/>
      <c r="I1363" s="117"/>
      <c r="J1363" s="116"/>
      <c r="K1363" s="80"/>
      <c r="L1363" s="79"/>
      <c r="M1363" s="79"/>
      <c r="N1363" s="89"/>
      <c r="AG1363" s="79"/>
      <c r="AH1363" s="79"/>
      <c r="DT1363" s="99">
        <f t="shared" si="22"/>
        <v>0</v>
      </c>
    </row>
    <row r="1364" spans="1:124" ht="36.75" hidden="1" customHeight="1" x14ac:dyDescent="0.3">
      <c r="A1364" s="143" t="s">
        <v>264</v>
      </c>
      <c r="B1364" s="31" t="s">
        <v>285</v>
      </c>
      <c r="C1364" s="31" t="s">
        <v>130</v>
      </c>
      <c r="D1364" s="30" t="s">
        <v>115</v>
      </c>
      <c r="E1364" s="15" t="s">
        <v>702</v>
      </c>
      <c r="F1364" s="15" t="s">
        <v>261</v>
      </c>
      <c r="G1364" s="57">
        <v>0</v>
      </c>
      <c r="H1364" s="116"/>
      <c r="I1364" s="117"/>
      <c r="J1364" s="116"/>
      <c r="K1364" s="80"/>
      <c r="L1364" s="79"/>
      <c r="M1364" s="79"/>
      <c r="N1364" s="89"/>
      <c r="AG1364" s="79"/>
      <c r="AH1364" s="79"/>
      <c r="AN1364" s="150">
        <v>23.6</v>
      </c>
      <c r="AO1364" s="150">
        <v>2328</v>
      </c>
      <c r="DT1364" s="99">
        <f t="shared" si="22"/>
        <v>0</v>
      </c>
    </row>
    <row r="1365" spans="1:124" ht="33" hidden="1" customHeight="1" x14ac:dyDescent="0.3">
      <c r="A1365" s="143" t="s">
        <v>698</v>
      </c>
      <c r="B1365" s="31" t="s">
        <v>285</v>
      </c>
      <c r="C1365" s="31" t="s">
        <v>130</v>
      </c>
      <c r="D1365" s="30" t="s">
        <v>115</v>
      </c>
      <c r="E1365" s="15" t="s">
        <v>696</v>
      </c>
      <c r="F1365" s="15" t="s">
        <v>50</v>
      </c>
      <c r="G1365" s="57">
        <f>G1366</f>
        <v>0</v>
      </c>
      <c r="H1365" s="116"/>
      <c r="I1365" s="117"/>
      <c r="J1365" s="116"/>
      <c r="K1365" s="80"/>
      <c r="L1365" s="79"/>
      <c r="M1365" s="79"/>
      <c r="N1365" s="89"/>
      <c r="AG1365" s="79"/>
      <c r="AH1365" s="79"/>
      <c r="DT1365" s="99">
        <f t="shared" si="22"/>
        <v>0</v>
      </c>
    </row>
    <row r="1366" spans="1:124" ht="36.75" hidden="1" customHeight="1" x14ac:dyDescent="0.3">
      <c r="A1366" s="173" t="s">
        <v>699</v>
      </c>
      <c r="B1366" s="31" t="s">
        <v>285</v>
      </c>
      <c r="C1366" s="31" t="s">
        <v>130</v>
      </c>
      <c r="D1366" s="30" t="s">
        <v>115</v>
      </c>
      <c r="E1366" s="15" t="s">
        <v>700</v>
      </c>
      <c r="F1366" s="15" t="s">
        <v>50</v>
      </c>
      <c r="G1366" s="57">
        <f>G1367</f>
        <v>0</v>
      </c>
      <c r="H1366" s="116"/>
      <c r="I1366" s="117"/>
      <c r="J1366" s="116"/>
      <c r="K1366" s="80"/>
      <c r="L1366" s="79"/>
      <c r="M1366" s="79"/>
      <c r="N1366" s="89"/>
      <c r="AG1366" s="79"/>
      <c r="AH1366" s="79"/>
      <c r="DT1366" s="99">
        <f t="shared" ref="DT1366:DT1429" si="23">DN1366+DO1366+DP1366+DQ1366+DR1366+DS1366</f>
        <v>0</v>
      </c>
    </row>
    <row r="1367" spans="1:124" ht="36.75" hidden="1" customHeight="1" x14ac:dyDescent="0.3">
      <c r="A1367" s="143" t="s">
        <v>264</v>
      </c>
      <c r="B1367" s="31" t="s">
        <v>285</v>
      </c>
      <c r="C1367" s="31" t="s">
        <v>130</v>
      </c>
      <c r="D1367" s="30" t="s">
        <v>115</v>
      </c>
      <c r="E1367" s="15" t="s">
        <v>700</v>
      </c>
      <c r="F1367" s="15" t="s">
        <v>261</v>
      </c>
      <c r="G1367" s="57">
        <v>0</v>
      </c>
      <c r="H1367" s="116"/>
      <c r="I1367" s="117"/>
      <c r="J1367" s="116"/>
      <c r="K1367" s="80"/>
      <c r="L1367" s="79"/>
      <c r="M1367" s="79"/>
      <c r="N1367" s="89"/>
      <c r="AG1367" s="79"/>
      <c r="AH1367" s="79"/>
      <c r="AO1367" s="150">
        <v>1000</v>
      </c>
      <c r="DT1367" s="99">
        <f t="shared" si="23"/>
        <v>0</v>
      </c>
    </row>
    <row r="1368" spans="1:124" ht="36.75" hidden="1" customHeight="1" x14ac:dyDescent="0.3">
      <c r="A1368" s="156" t="s">
        <v>161</v>
      </c>
      <c r="B1368" s="31" t="s">
        <v>285</v>
      </c>
      <c r="C1368" s="31" t="s">
        <v>130</v>
      </c>
      <c r="D1368" s="30" t="s">
        <v>115</v>
      </c>
      <c r="E1368" s="15" t="s">
        <v>99</v>
      </c>
      <c r="F1368" s="31" t="s">
        <v>50</v>
      </c>
      <c r="G1368" s="57">
        <f>G1369</f>
        <v>0</v>
      </c>
      <c r="H1368" s="116"/>
      <c r="I1368" s="117"/>
      <c r="J1368" s="116"/>
      <c r="K1368" s="80"/>
      <c r="L1368" s="79"/>
      <c r="M1368" s="79"/>
      <c r="N1368" s="89"/>
      <c r="AG1368" s="79"/>
      <c r="AH1368" s="79"/>
      <c r="DT1368" s="99">
        <f t="shared" si="23"/>
        <v>0</v>
      </c>
    </row>
    <row r="1369" spans="1:124" ht="36.75" hidden="1" customHeight="1" x14ac:dyDescent="0.3">
      <c r="A1369" s="156" t="s">
        <v>11</v>
      </c>
      <c r="B1369" s="13">
        <v>936</v>
      </c>
      <c r="C1369" s="14" t="s">
        <v>130</v>
      </c>
      <c r="D1369" s="14" t="s">
        <v>115</v>
      </c>
      <c r="E1369" s="15" t="s">
        <v>29</v>
      </c>
      <c r="F1369" s="14" t="s">
        <v>50</v>
      </c>
      <c r="G1369" s="57">
        <f>G1370+G1375+G1373+G1378</f>
        <v>0</v>
      </c>
      <c r="H1369" s="116"/>
      <c r="I1369" s="117"/>
      <c r="J1369" s="116"/>
      <c r="K1369" s="80"/>
      <c r="L1369" s="79"/>
      <c r="M1369" s="79"/>
      <c r="N1369" s="89"/>
      <c r="AG1369" s="79"/>
      <c r="AH1369" s="79"/>
      <c r="DT1369" s="99">
        <f t="shared" si="23"/>
        <v>0</v>
      </c>
    </row>
    <row r="1370" spans="1:124" ht="36.75" hidden="1" customHeight="1" x14ac:dyDescent="0.3">
      <c r="A1370" s="143" t="s">
        <v>249</v>
      </c>
      <c r="B1370" s="13">
        <v>936</v>
      </c>
      <c r="C1370" s="14" t="s">
        <v>130</v>
      </c>
      <c r="D1370" s="14" t="s">
        <v>115</v>
      </c>
      <c r="E1370" s="14" t="s">
        <v>254</v>
      </c>
      <c r="F1370" s="14" t="s">
        <v>50</v>
      </c>
      <c r="G1370" s="57">
        <f>G1371</f>
        <v>0</v>
      </c>
      <c r="H1370" s="116"/>
      <c r="I1370" s="117"/>
      <c r="J1370" s="116"/>
      <c r="K1370" s="80"/>
      <c r="L1370" s="79"/>
      <c r="M1370" s="79"/>
      <c r="N1370" s="89"/>
      <c r="AG1370" s="79"/>
      <c r="AH1370" s="79"/>
      <c r="DT1370" s="99">
        <f t="shared" si="23"/>
        <v>0</v>
      </c>
    </row>
    <row r="1371" spans="1:124" ht="141" hidden="1" customHeight="1" x14ac:dyDescent="0.3">
      <c r="A1371" s="143" t="s">
        <v>711</v>
      </c>
      <c r="B1371" s="13">
        <v>936</v>
      </c>
      <c r="C1371" s="14" t="s">
        <v>130</v>
      </c>
      <c r="D1371" s="14" t="s">
        <v>115</v>
      </c>
      <c r="E1371" s="15" t="s">
        <v>710</v>
      </c>
      <c r="F1371" s="15" t="s">
        <v>50</v>
      </c>
      <c r="G1371" s="57">
        <f>G1372</f>
        <v>0</v>
      </c>
      <c r="H1371" s="116"/>
      <c r="I1371" s="117"/>
      <c r="J1371" s="116"/>
      <c r="K1371" s="80"/>
      <c r="L1371" s="79"/>
      <c r="M1371" s="79"/>
      <c r="N1371" s="89"/>
      <c r="AG1371" s="79"/>
      <c r="AH1371" s="79"/>
      <c r="DT1371" s="99">
        <f t="shared" si="23"/>
        <v>0</v>
      </c>
    </row>
    <row r="1372" spans="1:124" ht="49.5" hidden="1" customHeight="1" x14ac:dyDescent="0.3">
      <c r="A1372" s="143" t="s">
        <v>264</v>
      </c>
      <c r="B1372" s="13">
        <v>936</v>
      </c>
      <c r="C1372" s="14" t="s">
        <v>130</v>
      </c>
      <c r="D1372" s="14" t="s">
        <v>115</v>
      </c>
      <c r="E1372" s="15" t="s">
        <v>710</v>
      </c>
      <c r="F1372" s="15" t="s">
        <v>261</v>
      </c>
      <c r="G1372" s="57">
        <v>0</v>
      </c>
      <c r="H1372" s="116"/>
      <c r="I1372" s="117"/>
      <c r="J1372" s="116"/>
      <c r="K1372" s="80"/>
      <c r="L1372" s="79"/>
      <c r="M1372" s="79"/>
      <c r="N1372" s="89"/>
      <c r="AG1372" s="79"/>
      <c r="AH1372" s="79"/>
      <c r="AP1372" s="151">
        <v>1500</v>
      </c>
      <c r="DT1372" s="99">
        <f t="shared" si="23"/>
        <v>0</v>
      </c>
    </row>
    <row r="1373" spans="1:124" ht="150.75" hidden="1" customHeight="1" x14ac:dyDescent="0.3">
      <c r="A1373" s="143" t="s">
        <v>711</v>
      </c>
      <c r="B1373" s="13">
        <v>936</v>
      </c>
      <c r="C1373" s="14" t="s">
        <v>130</v>
      </c>
      <c r="D1373" s="14" t="s">
        <v>115</v>
      </c>
      <c r="E1373" s="15" t="s">
        <v>728</v>
      </c>
      <c r="F1373" s="15" t="s">
        <v>50</v>
      </c>
      <c r="G1373" s="57">
        <f>G1374</f>
        <v>0</v>
      </c>
      <c r="H1373" s="116"/>
      <c r="I1373" s="117"/>
      <c r="J1373" s="116"/>
      <c r="K1373" s="80"/>
      <c r="L1373" s="79"/>
      <c r="M1373" s="79"/>
      <c r="N1373" s="89"/>
      <c r="AG1373" s="79"/>
      <c r="AH1373" s="79"/>
      <c r="DT1373" s="99">
        <f t="shared" si="23"/>
        <v>0</v>
      </c>
    </row>
    <row r="1374" spans="1:124" ht="49.5" hidden="1" customHeight="1" x14ac:dyDescent="0.3">
      <c r="A1374" s="143" t="s">
        <v>264</v>
      </c>
      <c r="B1374" s="13">
        <v>936</v>
      </c>
      <c r="C1374" s="14" t="s">
        <v>130</v>
      </c>
      <c r="D1374" s="14" t="s">
        <v>115</v>
      </c>
      <c r="E1374" s="15" t="s">
        <v>728</v>
      </c>
      <c r="F1374" s="15" t="s">
        <v>261</v>
      </c>
      <c r="G1374" s="57">
        <v>0</v>
      </c>
      <c r="H1374" s="116"/>
      <c r="I1374" s="117"/>
      <c r="J1374" s="116"/>
      <c r="K1374" s="80"/>
      <c r="L1374" s="79"/>
      <c r="M1374" s="79"/>
      <c r="N1374" s="89"/>
      <c r="AG1374" s="79"/>
      <c r="AH1374" s="79"/>
      <c r="AQ1374" s="151">
        <v>180.85499999999999</v>
      </c>
      <c r="DT1374" s="99">
        <f t="shared" si="23"/>
        <v>0</v>
      </c>
    </row>
    <row r="1375" spans="1:124" ht="45" hidden="1" customHeight="1" x14ac:dyDescent="0.3">
      <c r="A1375" s="143" t="s">
        <v>64</v>
      </c>
      <c r="B1375" s="13">
        <v>936</v>
      </c>
      <c r="C1375" s="14" t="s">
        <v>130</v>
      </c>
      <c r="D1375" s="14" t="s">
        <v>115</v>
      </c>
      <c r="E1375" s="44" t="s">
        <v>252</v>
      </c>
      <c r="F1375" s="44" t="s">
        <v>50</v>
      </c>
      <c r="G1375" s="57">
        <f>G1376</f>
        <v>0</v>
      </c>
      <c r="H1375" s="116"/>
      <c r="I1375" s="117"/>
      <c r="J1375" s="116"/>
      <c r="K1375" s="80"/>
      <c r="L1375" s="79"/>
      <c r="M1375" s="79"/>
      <c r="N1375" s="89"/>
      <c r="AG1375" s="79"/>
      <c r="AH1375" s="79"/>
      <c r="DT1375" s="99">
        <f t="shared" si="23"/>
        <v>0</v>
      </c>
    </row>
    <row r="1376" spans="1:124" ht="123.75" hidden="1" customHeight="1" x14ac:dyDescent="0.3">
      <c r="A1376" s="143" t="s">
        <v>724</v>
      </c>
      <c r="B1376" s="13">
        <v>936</v>
      </c>
      <c r="C1376" s="14" t="s">
        <v>130</v>
      </c>
      <c r="D1376" s="14" t="s">
        <v>115</v>
      </c>
      <c r="E1376" s="44" t="s">
        <v>723</v>
      </c>
      <c r="F1376" s="15" t="s">
        <v>50</v>
      </c>
      <c r="G1376" s="57">
        <f>G1377</f>
        <v>0</v>
      </c>
      <c r="H1376" s="116"/>
      <c r="I1376" s="117"/>
      <c r="J1376" s="116"/>
      <c r="K1376" s="80"/>
      <c r="L1376" s="79"/>
      <c r="M1376" s="79"/>
      <c r="N1376" s="89"/>
      <c r="AG1376" s="79"/>
      <c r="AH1376" s="79"/>
      <c r="DT1376" s="99">
        <f t="shared" si="23"/>
        <v>0</v>
      </c>
    </row>
    <row r="1377" spans="1:124" ht="49.5" hidden="1" customHeight="1" x14ac:dyDescent="0.3">
      <c r="A1377" s="143" t="s">
        <v>264</v>
      </c>
      <c r="B1377" s="13">
        <v>936</v>
      </c>
      <c r="C1377" s="14" t="s">
        <v>130</v>
      </c>
      <c r="D1377" s="14" t="s">
        <v>115</v>
      </c>
      <c r="E1377" s="44" t="s">
        <v>723</v>
      </c>
      <c r="F1377" s="15" t="s">
        <v>261</v>
      </c>
      <c r="G1377" s="57">
        <v>0</v>
      </c>
      <c r="H1377" s="116"/>
      <c r="I1377" s="117"/>
      <c r="J1377" s="116"/>
      <c r="K1377" s="80"/>
      <c r="L1377" s="79"/>
      <c r="M1377" s="79"/>
      <c r="N1377" s="89"/>
      <c r="AG1377" s="79"/>
      <c r="AH1377" s="79"/>
      <c r="AQ1377" s="151">
        <v>260</v>
      </c>
      <c r="DT1377" s="99">
        <f t="shared" si="23"/>
        <v>0</v>
      </c>
    </row>
    <row r="1378" spans="1:124" ht="87" hidden="1" customHeight="1" x14ac:dyDescent="0.3">
      <c r="A1378" s="143" t="s">
        <v>730</v>
      </c>
      <c r="B1378" s="13">
        <v>936</v>
      </c>
      <c r="C1378" s="14" t="s">
        <v>130</v>
      </c>
      <c r="D1378" s="14" t="s">
        <v>115</v>
      </c>
      <c r="E1378" s="44" t="s">
        <v>731</v>
      </c>
      <c r="F1378" s="14" t="s">
        <v>50</v>
      </c>
      <c r="G1378" s="57">
        <f>G1379</f>
        <v>0</v>
      </c>
      <c r="H1378" s="116"/>
      <c r="I1378" s="117"/>
      <c r="J1378" s="116"/>
      <c r="K1378" s="80"/>
      <c r="L1378" s="79"/>
      <c r="M1378" s="79"/>
      <c r="N1378" s="89"/>
      <c r="AG1378" s="79"/>
      <c r="AH1378" s="79"/>
      <c r="DT1378" s="99">
        <f t="shared" si="23"/>
        <v>0</v>
      </c>
    </row>
    <row r="1379" spans="1:124" ht="159" hidden="1" customHeight="1" x14ac:dyDescent="0.3">
      <c r="A1379" s="143" t="s">
        <v>739</v>
      </c>
      <c r="B1379" s="13">
        <v>936</v>
      </c>
      <c r="C1379" s="14" t="s">
        <v>130</v>
      </c>
      <c r="D1379" s="14" t="s">
        <v>115</v>
      </c>
      <c r="E1379" s="44" t="s">
        <v>740</v>
      </c>
      <c r="F1379" s="14" t="s">
        <v>50</v>
      </c>
      <c r="G1379" s="57">
        <f>G1380</f>
        <v>0</v>
      </c>
      <c r="H1379" s="116"/>
      <c r="I1379" s="117"/>
      <c r="J1379" s="116"/>
      <c r="K1379" s="80"/>
      <c r="L1379" s="79"/>
      <c r="M1379" s="79"/>
      <c r="N1379" s="89"/>
      <c r="AG1379" s="79"/>
      <c r="AH1379" s="79"/>
      <c r="DT1379" s="99">
        <f t="shared" si="23"/>
        <v>0</v>
      </c>
    </row>
    <row r="1380" spans="1:124" ht="49.5" hidden="1" customHeight="1" x14ac:dyDescent="0.3">
      <c r="A1380" s="143" t="s">
        <v>425</v>
      </c>
      <c r="B1380" s="13">
        <v>936</v>
      </c>
      <c r="C1380" s="14" t="s">
        <v>130</v>
      </c>
      <c r="D1380" s="14" t="s">
        <v>115</v>
      </c>
      <c r="E1380" s="44" t="s">
        <v>740</v>
      </c>
      <c r="F1380" s="44" t="s">
        <v>59</v>
      </c>
      <c r="G1380" s="57">
        <v>0</v>
      </c>
      <c r="H1380" s="116"/>
      <c r="I1380" s="117"/>
      <c r="J1380" s="116"/>
      <c r="K1380" s="80"/>
      <c r="L1380" s="79"/>
      <c r="M1380" s="79"/>
      <c r="N1380" s="89"/>
      <c r="AG1380" s="79"/>
      <c r="AH1380" s="79"/>
      <c r="AQ1380" s="151">
        <v>43.688000000000002</v>
      </c>
      <c r="DT1380" s="99">
        <f t="shared" si="23"/>
        <v>0</v>
      </c>
    </row>
    <row r="1381" spans="1:124" ht="58.5" hidden="1" customHeight="1" x14ac:dyDescent="0.3">
      <c r="A1381" s="155" t="s">
        <v>131</v>
      </c>
      <c r="B1381" s="12">
        <v>905</v>
      </c>
      <c r="C1381" s="19" t="s">
        <v>130</v>
      </c>
      <c r="D1381" s="19" t="s">
        <v>121</v>
      </c>
      <c r="E1381" s="12" t="s">
        <v>49</v>
      </c>
      <c r="F1381" s="9" t="s">
        <v>50</v>
      </c>
      <c r="G1381" s="68">
        <f>G1382</f>
        <v>0</v>
      </c>
      <c r="H1381" s="116"/>
      <c r="I1381" s="117"/>
      <c r="J1381" s="116"/>
      <c r="K1381" s="80"/>
      <c r="L1381" s="79"/>
      <c r="M1381" s="79"/>
      <c r="N1381" s="89"/>
      <c r="AG1381" s="79"/>
      <c r="AH1381" s="79"/>
      <c r="DT1381" s="99">
        <f t="shared" si="23"/>
        <v>0</v>
      </c>
    </row>
    <row r="1382" spans="1:124" ht="27" hidden="1" customHeight="1" x14ac:dyDescent="0.3">
      <c r="A1382" s="143" t="s">
        <v>409</v>
      </c>
      <c r="B1382" s="13">
        <v>936</v>
      </c>
      <c r="C1382" s="6" t="s">
        <v>130</v>
      </c>
      <c r="D1382" s="6" t="s">
        <v>121</v>
      </c>
      <c r="E1382" s="14" t="s">
        <v>90</v>
      </c>
      <c r="F1382" s="14" t="s">
        <v>50</v>
      </c>
      <c r="G1382" s="57">
        <f>G1383</f>
        <v>0</v>
      </c>
      <c r="H1382" s="116"/>
      <c r="I1382" s="117"/>
      <c r="J1382" s="116"/>
      <c r="K1382" s="80"/>
      <c r="L1382" s="79"/>
      <c r="M1382" s="79"/>
      <c r="N1382" s="89"/>
      <c r="AG1382" s="79"/>
      <c r="AH1382" s="79"/>
      <c r="DT1382" s="99">
        <f t="shared" si="23"/>
        <v>0</v>
      </c>
    </row>
    <row r="1383" spans="1:124" ht="27.75" hidden="1" customHeight="1" x14ac:dyDescent="0.3">
      <c r="A1383" s="143" t="s">
        <v>211</v>
      </c>
      <c r="B1383" s="13">
        <v>936</v>
      </c>
      <c r="C1383" s="6" t="s">
        <v>130</v>
      </c>
      <c r="D1383" s="6" t="s">
        <v>121</v>
      </c>
      <c r="E1383" s="15" t="s">
        <v>498</v>
      </c>
      <c r="F1383" s="15" t="s">
        <v>50</v>
      </c>
      <c r="G1383" s="57">
        <f>G1384</f>
        <v>0</v>
      </c>
      <c r="H1383" s="116"/>
      <c r="I1383" s="117"/>
      <c r="J1383" s="116"/>
      <c r="K1383" s="80"/>
      <c r="L1383" s="79"/>
      <c r="M1383" s="79"/>
      <c r="N1383" s="89"/>
      <c r="AG1383" s="79"/>
      <c r="AH1383" s="79"/>
      <c r="DT1383" s="99">
        <f t="shared" si="23"/>
        <v>0</v>
      </c>
    </row>
    <row r="1384" spans="1:124" ht="36.75" hidden="1" customHeight="1" x14ac:dyDescent="0.3">
      <c r="A1384" s="143" t="s">
        <v>425</v>
      </c>
      <c r="B1384" s="13">
        <v>936</v>
      </c>
      <c r="C1384" s="6" t="s">
        <v>130</v>
      </c>
      <c r="D1384" s="6" t="s">
        <v>121</v>
      </c>
      <c r="E1384" s="15" t="s">
        <v>498</v>
      </c>
      <c r="F1384" s="15" t="s">
        <v>59</v>
      </c>
      <c r="G1384" s="57">
        <f>AN1384-300</f>
        <v>0</v>
      </c>
      <c r="H1384" s="116"/>
      <c r="I1384" s="117"/>
      <c r="J1384" s="116"/>
      <c r="K1384" s="80"/>
      <c r="L1384" s="79"/>
      <c r="M1384" s="79"/>
      <c r="N1384" s="89"/>
      <c r="AG1384" s="79"/>
      <c r="AH1384" s="79"/>
      <c r="AN1384" s="150">
        <v>300</v>
      </c>
      <c r="DT1384" s="99">
        <f t="shared" si="23"/>
        <v>0</v>
      </c>
    </row>
    <row r="1385" spans="1:124" ht="36.75" hidden="1" customHeight="1" x14ac:dyDescent="0.3">
      <c r="A1385" s="211" t="s">
        <v>345</v>
      </c>
      <c r="B1385" s="152">
        <v>936</v>
      </c>
      <c r="C1385" s="153" t="s">
        <v>128</v>
      </c>
      <c r="D1385" s="153" t="s">
        <v>112</v>
      </c>
      <c r="E1385" s="154" t="s">
        <v>49</v>
      </c>
      <c r="F1385" s="153" t="s">
        <v>50</v>
      </c>
      <c r="G1385" s="68">
        <f t="shared" ref="G1385:G1390" si="24">G1386</f>
        <v>0</v>
      </c>
      <c r="H1385" s="116"/>
      <c r="I1385" s="117"/>
      <c r="J1385" s="116"/>
      <c r="K1385" s="80"/>
      <c r="L1385" s="79"/>
      <c r="M1385" s="79"/>
      <c r="N1385" s="89"/>
      <c r="AG1385" s="79"/>
      <c r="AH1385" s="79"/>
      <c r="DT1385" s="99">
        <f t="shared" si="23"/>
        <v>0</v>
      </c>
    </row>
    <row r="1386" spans="1:124" ht="36.75" hidden="1" customHeight="1" x14ac:dyDescent="0.3">
      <c r="A1386" s="155" t="s">
        <v>716</v>
      </c>
      <c r="B1386" s="152">
        <v>936</v>
      </c>
      <c r="C1386" s="153" t="s">
        <v>128</v>
      </c>
      <c r="D1386" s="153" t="s">
        <v>115</v>
      </c>
      <c r="E1386" s="154" t="s">
        <v>49</v>
      </c>
      <c r="F1386" s="153" t="s">
        <v>50</v>
      </c>
      <c r="G1386" s="68">
        <f t="shared" si="24"/>
        <v>0</v>
      </c>
      <c r="H1386" s="116"/>
      <c r="I1386" s="117"/>
      <c r="J1386" s="116"/>
      <c r="K1386" s="80"/>
      <c r="L1386" s="79"/>
      <c r="M1386" s="79"/>
      <c r="N1386" s="89"/>
      <c r="AG1386" s="79"/>
      <c r="AH1386" s="79"/>
      <c r="DT1386" s="99">
        <f t="shared" si="23"/>
        <v>0</v>
      </c>
    </row>
    <row r="1387" spans="1:124" ht="36.75" hidden="1" customHeight="1" x14ac:dyDescent="0.3">
      <c r="A1387" s="156" t="s">
        <v>161</v>
      </c>
      <c r="B1387" s="144">
        <v>936</v>
      </c>
      <c r="C1387" s="111" t="s">
        <v>128</v>
      </c>
      <c r="D1387" s="111" t="s">
        <v>115</v>
      </c>
      <c r="E1387" s="157" t="s">
        <v>99</v>
      </c>
      <c r="F1387" s="158" t="s">
        <v>50</v>
      </c>
      <c r="G1387" s="57">
        <f t="shared" si="24"/>
        <v>0</v>
      </c>
      <c r="H1387" s="116"/>
      <c r="I1387" s="117"/>
      <c r="J1387" s="116"/>
      <c r="K1387" s="80"/>
      <c r="L1387" s="79"/>
      <c r="M1387" s="79"/>
      <c r="N1387" s="89"/>
      <c r="AG1387" s="79"/>
      <c r="AH1387" s="79"/>
      <c r="DT1387" s="99">
        <f t="shared" si="23"/>
        <v>0</v>
      </c>
    </row>
    <row r="1388" spans="1:124" ht="36.75" hidden="1" customHeight="1" x14ac:dyDescent="0.3">
      <c r="A1388" s="156" t="s">
        <v>9</v>
      </c>
      <c r="B1388" s="144">
        <v>936</v>
      </c>
      <c r="C1388" s="111" t="s">
        <v>128</v>
      </c>
      <c r="D1388" s="111" t="s">
        <v>115</v>
      </c>
      <c r="E1388" s="157" t="s">
        <v>101</v>
      </c>
      <c r="F1388" s="111" t="s">
        <v>50</v>
      </c>
      <c r="G1388" s="57">
        <f t="shared" si="24"/>
        <v>0</v>
      </c>
      <c r="H1388" s="116"/>
      <c r="I1388" s="117"/>
      <c r="J1388" s="116"/>
      <c r="K1388" s="80"/>
      <c r="L1388" s="79"/>
      <c r="M1388" s="79"/>
      <c r="N1388" s="89"/>
      <c r="AG1388" s="79"/>
      <c r="AH1388" s="79"/>
      <c r="DT1388" s="99">
        <f t="shared" si="23"/>
        <v>0</v>
      </c>
    </row>
    <row r="1389" spans="1:124" ht="36.75" hidden="1" customHeight="1" x14ac:dyDescent="0.3">
      <c r="A1389" s="182" t="s">
        <v>68</v>
      </c>
      <c r="B1389" s="144">
        <v>936</v>
      </c>
      <c r="C1389" s="111" t="s">
        <v>128</v>
      </c>
      <c r="D1389" s="111" t="s">
        <v>115</v>
      </c>
      <c r="E1389" s="157" t="s">
        <v>774</v>
      </c>
      <c r="F1389" s="111" t="s">
        <v>50</v>
      </c>
      <c r="G1389" s="57">
        <f t="shared" si="24"/>
        <v>0</v>
      </c>
      <c r="H1389" s="116"/>
      <c r="I1389" s="117"/>
      <c r="J1389" s="116"/>
      <c r="K1389" s="80"/>
      <c r="L1389" s="79"/>
      <c r="M1389" s="79"/>
      <c r="N1389" s="89"/>
      <c r="AG1389" s="79"/>
      <c r="AH1389" s="79"/>
      <c r="DT1389" s="99">
        <f t="shared" si="23"/>
        <v>0</v>
      </c>
    </row>
    <row r="1390" spans="1:124" ht="31.5" hidden="1" customHeight="1" x14ac:dyDescent="0.3">
      <c r="A1390" s="182" t="s">
        <v>717</v>
      </c>
      <c r="B1390" s="144">
        <v>936</v>
      </c>
      <c r="C1390" s="111" t="s">
        <v>128</v>
      </c>
      <c r="D1390" s="111" t="s">
        <v>115</v>
      </c>
      <c r="E1390" s="157" t="s">
        <v>775</v>
      </c>
      <c r="F1390" s="111" t="s">
        <v>50</v>
      </c>
      <c r="G1390" s="57">
        <f t="shared" si="24"/>
        <v>0</v>
      </c>
      <c r="H1390" s="116"/>
      <c r="I1390" s="117"/>
      <c r="J1390" s="116"/>
      <c r="K1390" s="80"/>
      <c r="L1390" s="79"/>
      <c r="M1390" s="79"/>
      <c r="N1390" s="89"/>
      <c r="AG1390" s="79"/>
      <c r="AH1390" s="79"/>
      <c r="DT1390" s="99">
        <f t="shared" si="23"/>
        <v>0</v>
      </c>
    </row>
    <row r="1391" spans="1:124" ht="36.75" hidden="1" customHeight="1" x14ac:dyDescent="0.3">
      <c r="A1391" s="143" t="s">
        <v>290</v>
      </c>
      <c r="B1391" s="144">
        <v>936</v>
      </c>
      <c r="C1391" s="111" t="s">
        <v>128</v>
      </c>
      <c r="D1391" s="111" t="s">
        <v>115</v>
      </c>
      <c r="E1391" s="157" t="s">
        <v>775</v>
      </c>
      <c r="F1391" s="111" t="s">
        <v>291</v>
      </c>
      <c r="G1391" s="57">
        <f>AP1391+BD1391</f>
        <v>0</v>
      </c>
      <c r="H1391" s="116"/>
      <c r="I1391" s="117"/>
      <c r="J1391" s="116"/>
      <c r="K1391" s="80"/>
      <c r="L1391" s="79"/>
      <c r="M1391" s="79"/>
      <c r="N1391" s="89"/>
      <c r="AG1391" s="79"/>
      <c r="AH1391" s="79"/>
      <c r="AP1391" s="151">
        <v>8162.9</v>
      </c>
      <c r="BD1391" s="226">
        <v>-8162.9</v>
      </c>
      <c r="DT1391" s="99">
        <f t="shared" si="23"/>
        <v>0</v>
      </c>
    </row>
    <row r="1392" spans="1:124" ht="36.75" hidden="1" customHeight="1" x14ac:dyDescent="0.3">
      <c r="A1392" s="143" t="s">
        <v>815</v>
      </c>
      <c r="B1392" s="13">
        <v>936</v>
      </c>
      <c r="C1392" s="6" t="s">
        <v>130</v>
      </c>
      <c r="D1392" s="6" t="s">
        <v>115</v>
      </c>
      <c r="E1392" s="157" t="s">
        <v>927</v>
      </c>
      <c r="F1392" s="111" t="s">
        <v>50</v>
      </c>
      <c r="G1392" s="57">
        <f>G1393</f>
        <v>0</v>
      </c>
      <c r="H1392" s="116"/>
      <c r="I1392" s="117"/>
      <c r="J1392" s="116"/>
      <c r="K1392" s="80"/>
      <c r="L1392" s="79"/>
      <c r="M1392" s="79"/>
      <c r="N1392" s="89"/>
      <c r="AG1392" s="79"/>
      <c r="AH1392" s="79"/>
      <c r="DT1392" s="99">
        <f t="shared" si="23"/>
        <v>0</v>
      </c>
    </row>
    <row r="1393" spans="1:124" ht="36.75" hidden="1" customHeight="1" x14ac:dyDescent="0.3">
      <c r="A1393" s="143" t="s">
        <v>264</v>
      </c>
      <c r="B1393" s="13">
        <v>936</v>
      </c>
      <c r="C1393" s="6" t="s">
        <v>130</v>
      </c>
      <c r="D1393" s="6" t="s">
        <v>115</v>
      </c>
      <c r="E1393" s="157" t="s">
        <v>927</v>
      </c>
      <c r="F1393" s="14" t="s">
        <v>261</v>
      </c>
      <c r="G1393" s="57">
        <v>0</v>
      </c>
      <c r="H1393" s="116"/>
      <c r="I1393" s="117"/>
      <c r="J1393" s="116"/>
      <c r="K1393" s="80"/>
      <c r="L1393" s="79"/>
      <c r="M1393" s="79"/>
      <c r="N1393" s="89"/>
      <c r="AG1393" s="79"/>
      <c r="AH1393" s="79"/>
      <c r="BT1393" s="151">
        <v>1034.8</v>
      </c>
      <c r="DT1393" s="99">
        <f t="shared" si="23"/>
        <v>0</v>
      </c>
    </row>
    <row r="1394" spans="1:124" ht="36.75" hidden="1" customHeight="1" x14ac:dyDescent="0.3">
      <c r="A1394" s="143" t="s">
        <v>815</v>
      </c>
      <c r="B1394" s="13">
        <v>936</v>
      </c>
      <c r="C1394" s="6" t="s">
        <v>130</v>
      </c>
      <c r="D1394" s="6" t="s">
        <v>115</v>
      </c>
      <c r="E1394" s="157" t="s">
        <v>927</v>
      </c>
      <c r="F1394" s="111" t="s">
        <v>50</v>
      </c>
      <c r="G1394" s="57">
        <f>G1395</f>
        <v>0</v>
      </c>
      <c r="H1394" s="116"/>
      <c r="I1394" s="117"/>
      <c r="J1394" s="116"/>
      <c r="K1394" s="80"/>
      <c r="L1394" s="79"/>
      <c r="M1394" s="79"/>
      <c r="N1394" s="89"/>
      <c r="AG1394" s="79"/>
      <c r="AH1394" s="79"/>
      <c r="DT1394" s="99">
        <f t="shared" si="23"/>
        <v>0</v>
      </c>
    </row>
    <row r="1395" spans="1:124" ht="36.75" hidden="1" customHeight="1" x14ac:dyDescent="0.3">
      <c r="A1395" s="143" t="s">
        <v>264</v>
      </c>
      <c r="B1395" s="13">
        <v>936</v>
      </c>
      <c r="C1395" s="6" t="s">
        <v>130</v>
      </c>
      <c r="D1395" s="6" t="s">
        <v>115</v>
      </c>
      <c r="E1395" s="157" t="s">
        <v>927</v>
      </c>
      <c r="F1395" s="14" t="s">
        <v>261</v>
      </c>
      <c r="G1395" s="57">
        <v>0</v>
      </c>
      <c r="H1395" s="116"/>
      <c r="I1395" s="117"/>
      <c r="J1395" s="116"/>
      <c r="K1395" s="80"/>
      <c r="L1395" s="79"/>
      <c r="M1395" s="79"/>
      <c r="N1395" s="89"/>
      <c r="AG1395" s="79"/>
      <c r="AH1395" s="79"/>
      <c r="BU1395" s="151">
        <v>10.5</v>
      </c>
      <c r="DT1395" s="99">
        <f t="shared" si="23"/>
        <v>0</v>
      </c>
    </row>
    <row r="1396" spans="1:124" ht="36.75" hidden="1" customHeight="1" x14ac:dyDescent="0.3">
      <c r="A1396" s="156" t="s">
        <v>11</v>
      </c>
      <c r="B1396" s="13">
        <v>936</v>
      </c>
      <c r="C1396" s="6" t="s">
        <v>130</v>
      </c>
      <c r="D1396" s="6" t="s">
        <v>115</v>
      </c>
      <c r="E1396" s="15" t="s">
        <v>29</v>
      </c>
      <c r="F1396" s="14" t="s">
        <v>50</v>
      </c>
      <c r="G1396" s="57">
        <f>G1397+G1404+G1410+G1406+G1412+G1408+G1414</f>
        <v>0</v>
      </c>
      <c r="H1396" s="116"/>
      <c r="I1396" s="117"/>
      <c r="J1396" s="116"/>
      <c r="K1396" s="80"/>
      <c r="L1396" s="79"/>
      <c r="M1396" s="79"/>
      <c r="N1396" s="89"/>
      <c r="AG1396" s="79"/>
      <c r="AH1396" s="79"/>
      <c r="DT1396" s="99">
        <f t="shared" si="23"/>
        <v>0</v>
      </c>
    </row>
    <row r="1397" spans="1:124" ht="36.75" hidden="1" customHeight="1" x14ac:dyDescent="0.3">
      <c r="A1397" s="143" t="s">
        <v>249</v>
      </c>
      <c r="B1397" s="13">
        <v>936</v>
      </c>
      <c r="C1397" s="6" t="s">
        <v>130</v>
      </c>
      <c r="D1397" s="6" t="s">
        <v>115</v>
      </c>
      <c r="E1397" s="14" t="s">
        <v>823</v>
      </c>
      <c r="F1397" s="14" t="s">
        <v>50</v>
      </c>
      <c r="G1397" s="72">
        <f>G1398+G1400+G1402</f>
        <v>0</v>
      </c>
      <c r="H1397" s="116"/>
      <c r="I1397" s="117"/>
      <c r="J1397" s="116"/>
      <c r="K1397" s="80"/>
      <c r="L1397" s="79"/>
      <c r="M1397" s="79"/>
      <c r="N1397" s="89"/>
      <c r="AG1397" s="79"/>
      <c r="AH1397" s="79"/>
      <c r="DT1397" s="99">
        <f t="shared" si="23"/>
        <v>0</v>
      </c>
    </row>
    <row r="1398" spans="1:124" ht="156" hidden="1" customHeight="1" x14ac:dyDescent="0.3">
      <c r="A1398" s="143" t="s">
        <v>1084</v>
      </c>
      <c r="B1398" s="13">
        <v>936</v>
      </c>
      <c r="C1398" s="6" t="s">
        <v>130</v>
      </c>
      <c r="D1398" s="6" t="s">
        <v>115</v>
      </c>
      <c r="E1398" s="14" t="s">
        <v>983</v>
      </c>
      <c r="F1398" s="14" t="s">
        <v>50</v>
      </c>
      <c r="G1398" s="72">
        <f>G1399</f>
        <v>0</v>
      </c>
      <c r="H1398" s="116"/>
      <c r="I1398" s="117"/>
      <c r="J1398" s="116"/>
      <c r="K1398" s="80"/>
      <c r="L1398" s="79"/>
      <c r="M1398" s="79"/>
      <c r="N1398" s="89"/>
      <c r="AG1398" s="79"/>
      <c r="AH1398" s="79"/>
      <c r="DT1398" s="99">
        <f t="shared" si="23"/>
        <v>0</v>
      </c>
    </row>
    <row r="1399" spans="1:124" ht="36.75" hidden="1" customHeight="1" x14ac:dyDescent="0.3">
      <c r="A1399" s="143" t="s">
        <v>264</v>
      </c>
      <c r="B1399" s="13">
        <v>936</v>
      </c>
      <c r="C1399" s="6" t="s">
        <v>130</v>
      </c>
      <c r="D1399" s="6" t="s">
        <v>115</v>
      </c>
      <c r="E1399" s="14" t="s">
        <v>983</v>
      </c>
      <c r="F1399" s="14" t="s">
        <v>261</v>
      </c>
      <c r="G1399" s="72">
        <v>0</v>
      </c>
      <c r="H1399" s="116"/>
      <c r="I1399" s="117"/>
      <c r="J1399" s="116"/>
      <c r="K1399" s="80"/>
      <c r="L1399" s="79"/>
      <c r="M1399" s="79"/>
      <c r="N1399" s="89"/>
      <c r="AG1399" s="79"/>
      <c r="AH1399" s="79"/>
      <c r="CT1399" s="258">
        <v>1468.1</v>
      </c>
      <c r="DT1399" s="99">
        <f t="shared" si="23"/>
        <v>0</v>
      </c>
    </row>
    <row r="1400" spans="1:124" ht="141" hidden="1" customHeight="1" x14ac:dyDescent="0.3">
      <c r="A1400" s="143" t="s">
        <v>1098</v>
      </c>
      <c r="B1400" s="13">
        <v>936</v>
      </c>
      <c r="C1400" s="6" t="s">
        <v>130</v>
      </c>
      <c r="D1400" s="6" t="s">
        <v>115</v>
      </c>
      <c r="E1400" s="14" t="s">
        <v>984</v>
      </c>
      <c r="F1400" s="14" t="s">
        <v>50</v>
      </c>
      <c r="G1400" s="72">
        <f>G1401</f>
        <v>0</v>
      </c>
      <c r="H1400" s="116"/>
      <c r="I1400" s="117"/>
      <c r="J1400" s="116"/>
      <c r="K1400" s="80"/>
      <c r="L1400" s="79"/>
      <c r="M1400" s="79"/>
      <c r="N1400" s="89"/>
      <c r="AG1400" s="79"/>
      <c r="AH1400" s="79"/>
      <c r="DT1400" s="99">
        <f t="shared" si="23"/>
        <v>0</v>
      </c>
    </row>
    <row r="1401" spans="1:124" ht="36.75" hidden="1" customHeight="1" x14ac:dyDescent="0.3">
      <c r="A1401" s="143" t="s">
        <v>264</v>
      </c>
      <c r="B1401" s="13">
        <v>936</v>
      </c>
      <c r="C1401" s="6" t="s">
        <v>130</v>
      </c>
      <c r="D1401" s="6" t="s">
        <v>115</v>
      </c>
      <c r="E1401" s="14" t="s">
        <v>984</v>
      </c>
      <c r="F1401" s="44" t="s">
        <v>261</v>
      </c>
      <c r="G1401" s="72">
        <v>0</v>
      </c>
      <c r="H1401" s="116"/>
      <c r="I1401" s="117"/>
      <c r="J1401" s="116"/>
      <c r="K1401" s="80"/>
      <c r="L1401" s="79"/>
      <c r="M1401" s="79"/>
      <c r="N1401" s="89"/>
      <c r="AG1401" s="79"/>
      <c r="AH1401" s="79"/>
      <c r="CT1401" s="258">
        <v>1500</v>
      </c>
      <c r="DF1401" s="194">
        <v>-82.1</v>
      </c>
      <c r="DT1401" s="99">
        <f t="shared" si="23"/>
        <v>0</v>
      </c>
    </row>
    <row r="1402" spans="1:124" ht="144" hidden="1" customHeight="1" x14ac:dyDescent="0.3">
      <c r="A1402" s="143" t="s">
        <v>711</v>
      </c>
      <c r="B1402" s="13">
        <v>936</v>
      </c>
      <c r="C1402" s="6" t="s">
        <v>130</v>
      </c>
      <c r="D1402" s="6" t="s">
        <v>115</v>
      </c>
      <c r="E1402" s="15" t="s">
        <v>881</v>
      </c>
      <c r="F1402" s="15" t="s">
        <v>50</v>
      </c>
      <c r="G1402" s="72">
        <f>G1403</f>
        <v>0</v>
      </c>
      <c r="H1402" s="116"/>
      <c r="I1402" s="117"/>
      <c r="J1402" s="116"/>
      <c r="K1402" s="80"/>
      <c r="L1402" s="79"/>
      <c r="M1402" s="79"/>
      <c r="N1402" s="89"/>
      <c r="AG1402" s="79"/>
      <c r="AH1402" s="79"/>
      <c r="DT1402" s="99">
        <f t="shared" si="23"/>
        <v>0</v>
      </c>
    </row>
    <row r="1403" spans="1:124" ht="69" hidden="1" customHeight="1" x14ac:dyDescent="0.3">
      <c r="A1403" s="143" t="s">
        <v>264</v>
      </c>
      <c r="B1403" s="13">
        <v>936</v>
      </c>
      <c r="C1403" s="6" t="s">
        <v>130</v>
      </c>
      <c r="D1403" s="6" t="s">
        <v>115</v>
      </c>
      <c r="E1403" s="15" t="s">
        <v>881</v>
      </c>
      <c r="F1403" s="15" t="s">
        <v>261</v>
      </c>
      <c r="G1403" s="72">
        <v>0</v>
      </c>
      <c r="H1403" s="116"/>
      <c r="I1403" s="117"/>
      <c r="J1403" s="116"/>
      <c r="K1403" s="80"/>
      <c r="L1403" s="79"/>
      <c r="M1403" s="79"/>
      <c r="N1403" s="89"/>
      <c r="AG1403" s="79"/>
      <c r="AH1403" s="79"/>
      <c r="CA1403" s="226">
        <v>1500</v>
      </c>
      <c r="DT1403" s="99">
        <f t="shared" si="23"/>
        <v>0</v>
      </c>
    </row>
    <row r="1404" spans="1:124" ht="143.25" hidden="1" customHeight="1" x14ac:dyDescent="0.3">
      <c r="A1404" s="143" t="s">
        <v>1084</v>
      </c>
      <c r="B1404" s="13">
        <v>936</v>
      </c>
      <c r="C1404" s="6" t="s">
        <v>130</v>
      </c>
      <c r="D1404" s="6" t="s">
        <v>115</v>
      </c>
      <c r="E1404" s="14" t="s">
        <v>1007</v>
      </c>
      <c r="F1404" s="14" t="s">
        <v>50</v>
      </c>
      <c r="G1404" s="57">
        <f>G1405</f>
        <v>0</v>
      </c>
      <c r="H1404" s="116"/>
      <c r="I1404" s="117"/>
      <c r="J1404" s="116"/>
      <c r="K1404" s="80"/>
      <c r="L1404" s="79"/>
      <c r="M1404" s="79"/>
      <c r="N1404" s="89"/>
      <c r="AG1404" s="79"/>
      <c r="AH1404" s="79"/>
      <c r="DT1404" s="99">
        <f t="shared" si="23"/>
        <v>0</v>
      </c>
    </row>
    <row r="1405" spans="1:124" ht="36.75" hidden="1" customHeight="1" x14ac:dyDescent="0.3">
      <c r="A1405" s="143" t="s">
        <v>264</v>
      </c>
      <c r="B1405" s="13">
        <v>936</v>
      </c>
      <c r="C1405" s="6" t="s">
        <v>130</v>
      </c>
      <c r="D1405" s="6" t="s">
        <v>115</v>
      </c>
      <c r="E1405" s="14" t="s">
        <v>1007</v>
      </c>
      <c r="F1405" s="44" t="s">
        <v>261</v>
      </c>
      <c r="G1405" s="57">
        <v>0</v>
      </c>
      <c r="H1405" s="116"/>
      <c r="I1405" s="117"/>
      <c r="J1405" s="116"/>
      <c r="K1405" s="80"/>
      <c r="L1405" s="79"/>
      <c r="M1405" s="79"/>
      <c r="N1405" s="89"/>
      <c r="AG1405" s="79"/>
      <c r="AH1405" s="79"/>
      <c r="CU1405" s="258">
        <v>180</v>
      </c>
      <c r="DT1405" s="99">
        <f t="shared" si="23"/>
        <v>0</v>
      </c>
    </row>
    <row r="1406" spans="1:124" ht="117" hidden="1" customHeight="1" x14ac:dyDescent="0.3">
      <c r="A1406" s="143" t="s">
        <v>1098</v>
      </c>
      <c r="B1406" s="13">
        <v>936</v>
      </c>
      <c r="C1406" s="6" t="s">
        <v>130</v>
      </c>
      <c r="D1406" s="6" t="s">
        <v>115</v>
      </c>
      <c r="E1406" s="14" t="s">
        <v>1008</v>
      </c>
      <c r="F1406" s="14" t="s">
        <v>50</v>
      </c>
      <c r="G1406" s="57">
        <f>G1407</f>
        <v>0</v>
      </c>
      <c r="H1406" s="116"/>
      <c r="I1406" s="117"/>
      <c r="J1406" s="116"/>
      <c r="K1406" s="80"/>
      <c r="L1406" s="79"/>
      <c r="M1406" s="79"/>
      <c r="N1406" s="89"/>
      <c r="AG1406" s="79"/>
      <c r="AH1406" s="79"/>
      <c r="DT1406" s="99">
        <f t="shared" si="23"/>
        <v>0</v>
      </c>
    </row>
    <row r="1407" spans="1:124" ht="36.75" hidden="1" customHeight="1" x14ac:dyDescent="0.3">
      <c r="A1407" s="143" t="s">
        <v>264</v>
      </c>
      <c r="B1407" s="13">
        <v>936</v>
      </c>
      <c r="C1407" s="6" t="s">
        <v>130</v>
      </c>
      <c r="D1407" s="6" t="s">
        <v>115</v>
      </c>
      <c r="E1407" s="14" t="s">
        <v>1008</v>
      </c>
      <c r="F1407" s="44" t="s">
        <v>261</v>
      </c>
      <c r="G1407" s="57">
        <v>0</v>
      </c>
      <c r="H1407" s="116"/>
      <c r="I1407" s="117"/>
      <c r="J1407" s="116"/>
      <c r="K1407" s="80"/>
      <c r="L1407" s="79"/>
      <c r="M1407" s="79"/>
      <c r="N1407" s="89"/>
      <c r="AG1407" s="79"/>
      <c r="AH1407" s="79"/>
      <c r="CU1407" s="258">
        <v>252.49</v>
      </c>
      <c r="DT1407" s="99">
        <f t="shared" si="23"/>
        <v>0</v>
      </c>
    </row>
    <row r="1408" spans="1:124" ht="144.75" hidden="1" customHeight="1" x14ac:dyDescent="0.3">
      <c r="A1408" s="143" t="s">
        <v>711</v>
      </c>
      <c r="B1408" s="13">
        <v>936</v>
      </c>
      <c r="C1408" s="6" t="s">
        <v>130</v>
      </c>
      <c r="D1408" s="6" t="s">
        <v>115</v>
      </c>
      <c r="E1408" s="15" t="s">
        <v>890</v>
      </c>
      <c r="F1408" s="15" t="s">
        <v>50</v>
      </c>
      <c r="G1408" s="57">
        <f>G1409</f>
        <v>0</v>
      </c>
      <c r="H1408" s="116"/>
      <c r="I1408" s="117"/>
      <c r="J1408" s="116"/>
      <c r="K1408" s="80"/>
      <c r="L1408" s="79"/>
      <c r="M1408" s="79"/>
      <c r="N1408" s="89"/>
      <c r="AG1408" s="79"/>
      <c r="AH1408" s="79"/>
      <c r="DT1408" s="99">
        <f t="shared" si="23"/>
        <v>0</v>
      </c>
    </row>
    <row r="1409" spans="1:124" ht="36.75" hidden="1" customHeight="1" x14ac:dyDescent="0.3">
      <c r="A1409" s="143" t="s">
        <v>264</v>
      </c>
      <c r="B1409" s="13">
        <v>936</v>
      </c>
      <c r="C1409" s="6" t="s">
        <v>130</v>
      </c>
      <c r="D1409" s="6" t="s">
        <v>115</v>
      </c>
      <c r="E1409" s="15" t="s">
        <v>890</v>
      </c>
      <c r="F1409" s="15" t="s">
        <v>261</v>
      </c>
      <c r="G1409" s="57">
        <v>0</v>
      </c>
      <c r="H1409" s="116"/>
      <c r="I1409" s="117"/>
      <c r="J1409" s="116"/>
      <c r="K1409" s="80"/>
      <c r="L1409" s="79"/>
      <c r="M1409" s="79"/>
      <c r="N1409" s="89"/>
      <c r="AG1409" s="79"/>
      <c r="AH1409" s="79"/>
      <c r="CB1409" s="226">
        <v>180.85499999999999</v>
      </c>
      <c r="CF1409" s="194">
        <v>43.688000000000002</v>
      </c>
      <c r="DT1409" s="99">
        <f t="shared" si="23"/>
        <v>0</v>
      </c>
    </row>
    <row r="1410" spans="1:124" ht="103.5" hidden="1" customHeight="1" x14ac:dyDescent="0.3">
      <c r="A1410" s="143" t="s">
        <v>1069</v>
      </c>
      <c r="B1410" s="13">
        <v>936</v>
      </c>
      <c r="C1410" s="6" t="s">
        <v>130</v>
      </c>
      <c r="D1410" s="6" t="s">
        <v>115</v>
      </c>
      <c r="E1410" s="44" t="s">
        <v>1009</v>
      </c>
      <c r="F1410" s="14" t="s">
        <v>50</v>
      </c>
      <c r="G1410" s="57">
        <f>G1411</f>
        <v>0</v>
      </c>
      <c r="H1410" s="116"/>
      <c r="I1410" s="117"/>
      <c r="J1410" s="116"/>
      <c r="K1410" s="80"/>
      <c r="L1410" s="79"/>
      <c r="M1410" s="79"/>
      <c r="N1410" s="89"/>
      <c r="AG1410" s="79"/>
      <c r="AH1410" s="79"/>
      <c r="DT1410" s="99">
        <f t="shared" si="23"/>
        <v>0</v>
      </c>
    </row>
    <row r="1411" spans="1:124" ht="36.75" hidden="1" customHeight="1" x14ac:dyDescent="0.3">
      <c r="A1411" s="143" t="s">
        <v>264</v>
      </c>
      <c r="B1411" s="13">
        <v>936</v>
      </c>
      <c r="C1411" s="6" t="s">
        <v>130</v>
      </c>
      <c r="D1411" s="6" t="s">
        <v>115</v>
      </c>
      <c r="E1411" s="44" t="s">
        <v>1009</v>
      </c>
      <c r="F1411" s="44" t="s">
        <v>261</v>
      </c>
      <c r="G1411" s="57">
        <v>0</v>
      </c>
      <c r="H1411" s="116"/>
      <c r="I1411" s="117"/>
      <c r="J1411" s="116"/>
      <c r="K1411" s="80"/>
      <c r="L1411" s="79"/>
      <c r="M1411" s="79"/>
      <c r="N1411" s="89"/>
      <c r="AG1411" s="79"/>
      <c r="AH1411" s="79"/>
      <c r="CU1411" s="258">
        <v>146</v>
      </c>
      <c r="DT1411" s="99">
        <f t="shared" si="23"/>
        <v>0</v>
      </c>
    </row>
    <row r="1412" spans="1:124" ht="111.75" hidden="1" customHeight="1" x14ac:dyDescent="0.3">
      <c r="A1412" s="143" t="s">
        <v>1071</v>
      </c>
      <c r="B1412" s="13">
        <v>936</v>
      </c>
      <c r="C1412" s="6" t="s">
        <v>130</v>
      </c>
      <c r="D1412" s="6" t="s">
        <v>115</v>
      </c>
      <c r="E1412" s="44" t="s">
        <v>1010</v>
      </c>
      <c r="F1412" s="14" t="s">
        <v>50</v>
      </c>
      <c r="G1412" s="57">
        <f>G1413</f>
        <v>0</v>
      </c>
      <c r="H1412" s="116"/>
      <c r="I1412" s="117"/>
      <c r="J1412" s="116"/>
      <c r="K1412" s="80"/>
      <c r="L1412" s="79"/>
      <c r="M1412" s="79"/>
      <c r="N1412" s="89"/>
      <c r="AG1412" s="79"/>
      <c r="AH1412" s="79"/>
      <c r="DT1412" s="99">
        <f t="shared" si="23"/>
        <v>0</v>
      </c>
    </row>
    <row r="1413" spans="1:124" ht="36.75" hidden="1" customHeight="1" x14ac:dyDescent="0.3">
      <c r="A1413" s="143" t="s">
        <v>264</v>
      </c>
      <c r="B1413" s="13">
        <v>936</v>
      </c>
      <c r="C1413" s="6" t="s">
        <v>130</v>
      </c>
      <c r="D1413" s="6" t="s">
        <v>115</v>
      </c>
      <c r="E1413" s="44" t="s">
        <v>1010</v>
      </c>
      <c r="F1413" s="44" t="s">
        <v>261</v>
      </c>
      <c r="G1413" s="57">
        <v>0</v>
      </c>
      <c r="H1413" s="116"/>
      <c r="I1413" s="117"/>
      <c r="J1413" s="116"/>
      <c r="K1413" s="80"/>
      <c r="L1413" s="79"/>
      <c r="M1413" s="79"/>
      <c r="N1413" s="89"/>
      <c r="AG1413" s="79"/>
      <c r="AH1413" s="79"/>
      <c r="CU1413" s="258">
        <v>330</v>
      </c>
      <c r="DT1413" s="99">
        <f t="shared" si="23"/>
        <v>0</v>
      </c>
    </row>
    <row r="1414" spans="1:124" ht="77.25" hidden="1" customHeight="1" x14ac:dyDescent="0.3">
      <c r="A1414" s="143" t="s">
        <v>724</v>
      </c>
      <c r="B1414" s="13">
        <v>936</v>
      </c>
      <c r="C1414" s="6" t="s">
        <v>130</v>
      </c>
      <c r="D1414" s="6" t="s">
        <v>115</v>
      </c>
      <c r="E1414" s="44" t="s">
        <v>891</v>
      </c>
      <c r="F1414" s="15" t="s">
        <v>50</v>
      </c>
      <c r="G1414" s="57">
        <f>G1415</f>
        <v>0</v>
      </c>
      <c r="H1414" s="116"/>
      <c r="I1414" s="117"/>
      <c r="J1414" s="116"/>
      <c r="K1414" s="80"/>
      <c r="L1414" s="79"/>
      <c r="M1414" s="79"/>
      <c r="N1414" s="89"/>
      <c r="AG1414" s="79"/>
      <c r="AH1414" s="79"/>
      <c r="DT1414" s="99">
        <f t="shared" si="23"/>
        <v>0</v>
      </c>
    </row>
    <row r="1415" spans="1:124" ht="36.75" hidden="1" customHeight="1" x14ac:dyDescent="0.3">
      <c r="A1415" s="143" t="s">
        <v>264</v>
      </c>
      <c r="B1415" s="13">
        <v>936</v>
      </c>
      <c r="C1415" s="6" t="s">
        <v>130</v>
      </c>
      <c r="D1415" s="6" t="s">
        <v>115</v>
      </c>
      <c r="E1415" s="44" t="s">
        <v>891</v>
      </c>
      <c r="F1415" s="15" t="s">
        <v>261</v>
      </c>
      <c r="G1415" s="57">
        <v>0</v>
      </c>
      <c r="H1415" s="116"/>
      <c r="I1415" s="117"/>
      <c r="J1415" s="116"/>
      <c r="K1415" s="80"/>
      <c r="L1415" s="79"/>
      <c r="M1415" s="79"/>
      <c r="N1415" s="89"/>
      <c r="AG1415" s="79"/>
      <c r="AH1415" s="79"/>
      <c r="CB1415" s="226">
        <v>260</v>
      </c>
      <c r="DT1415" s="99">
        <f t="shared" si="23"/>
        <v>0</v>
      </c>
    </row>
    <row r="1416" spans="1:124" ht="63.75" hidden="1" customHeight="1" x14ac:dyDescent="0.3">
      <c r="A1416" s="232" t="s">
        <v>961</v>
      </c>
      <c r="B1416" s="13">
        <v>936</v>
      </c>
      <c r="C1416" s="6" t="s">
        <v>130</v>
      </c>
      <c r="D1416" s="6" t="s">
        <v>115</v>
      </c>
      <c r="E1416" s="14" t="s">
        <v>962</v>
      </c>
      <c r="F1416" s="14" t="s">
        <v>50</v>
      </c>
      <c r="G1416" s="57">
        <f>G1417</f>
        <v>0</v>
      </c>
      <c r="H1416" s="116"/>
      <c r="I1416" s="117"/>
      <c r="J1416" s="116"/>
      <c r="K1416" s="80"/>
      <c r="L1416" s="79"/>
      <c r="M1416" s="79"/>
      <c r="N1416" s="89"/>
      <c r="AG1416" s="79"/>
      <c r="AH1416" s="79"/>
      <c r="DT1416" s="99">
        <f t="shared" si="23"/>
        <v>0</v>
      </c>
    </row>
    <row r="1417" spans="1:124" ht="44.25" hidden="1" customHeight="1" x14ac:dyDescent="0.3">
      <c r="A1417" s="143" t="s">
        <v>264</v>
      </c>
      <c r="B1417" s="13">
        <v>936</v>
      </c>
      <c r="C1417" s="6" t="s">
        <v>130</v>
      </c>
      <c r="D1417" s="6" t="s">
        <v>115</v>
      </c>
      <c r="E1417" s="14" t="s">
        <v>962</v>
      </c>
      <c r="F1417" s="14" t="s">
        <v>261</v>
      </c>
      <c r="G1417" s="57">
        <v>0</v>
      </c>
      <c r="H1417" s="116"/>
      <c r="I1417" s="117"/>
      <c r="J1417" s="116"/>
      <c r="K1417" s="80"/>
      <c r="L1417" s="79"/>
      <c r="M1417" s="79"/>
      <c r="N1417" s="89"/>
      <c r="AG1417" s="79"/>
      <c r="AH1417" s="79"/>
      <c r="CT1417" s="258">
        <v>2500</v>
      </c>
      <c r="CV1417" s="268">
        <v>-2500</v>
      </c>
      <c r="DT1417" s="99">
        <f t="shared" si="23"/>
        <v>0</v>
      </c>
    </row>
    <row r="1418" spans="1:124" x14ac:dyDescent="0.3">
      <c r="A1418" s="155" t="s">
        <v>166</v>
      </c>
      <c r="B1418" s="12">
        <v>936</v>
      </c>
      <c r="C1418" s="19">
        <v>10</v>
      </c>
      <c r="D1418" s="19" t="s">
        <v>112</v>
      </c>
      <c r="E1418" s="12" t="s">
        <v>49</v>
      </c>
      <c r="F1418" s="9" t="s">
        <v>50</v>
      </c>
      <c r="G1418" s="68">
        <f>G1419+G1424+G1446+G1501</f>
        <v>19321.5</v>
      </c>
      <c r="H1418" s="116"/>
      <c r="I1418" s="117"/>
      <c r="J1418" s="116"/>
      <c r="K1418" s="80"/>
      <c r="L1418" s="79"/>
      <c r="M1418" s="79"/>
      <c r="AG1418" s="79"/>
      <c r="AH1418" s="79"/>
      <c r="DT1418" s="99">
        <f t="shared" si="23"/>
        <v>0</v>
      </c>
    </row>
    <row r="1419" spans="1:124" x14ac:dyDescent="0.3">
      <c r="A1419" s="155" t="s">
        <v>315</v>
      </c>
      <c r="B1419" s="12">
        <v>936</v>
      </c>
      <c r="C1419" s="19">
        <v>10</v>
      </c>
      <c r="D1419" s="19" t="s">
        <v>115</v>
      </c>
      <c r="E1419" s="12" t="s">
        <v>49</v>
      </c>
      <c r="F1419" s="9" t="s">
        <v>50</v>
      </c>
      <c r="G1419" s="68">
        <f>G1420</f>
        <v>860</v>
      </c>
      <c r="H1419" s="116"/>
      <c r="I1419" s="117"/>
      <c r="J1419" s="116"/>
      <c r="K1419" s="80"/>
      <c r="L1419" s="79"/>
      <c r="M1419" s="79"/>
      <c r="AG1419" s="79"/>
      <c r="AH1419" s="79"/>
      <c r="AS1419" s="194" t="s">
        <v>718</v>
      </c>
      <c r="DT1419" s="99">
        <f t="shared" si="23"/>
        <v>0</v>
      </c>
    </row>
    <row r="1420" spans="1:124" ht="56.25" x14ac:dyDescent="0.3">
      <c r="A1420" s="186" t="s">
        <v>16</v>
      </c>
      <c r="B1420" s="12">
        <v>936</v>
      </c>
      <c r="C1420" s="19" t="s">
        <v>169</v>
      </c>
      <c r="D1420" s="19" t="s">
        <v>115</v>
      </c>
      <c r="E1420" s="21" t="s">
        <v>32</v>
      </c>
      <c r="F1420" s="9" t="s">
        <v>50</v>
      </c>
      <c r="G1420" s="68">
        <f>G1422</f>
        <v>860</v>
      </c>
      <c r="H1420" s="116"/>
      <c r="I1420" s="117"/>
      <c r="J1420" s="116"/>
      <c r="K1420" s="80"/>
      <c r="L1420" s="79"/>
      <c r="M1420" s="79"/>
      <c r="AG1420" s="79"/>
      <c r="AH1420" s="79"/>
      <c r="DT1420" s="99">
        <f t="shared" si="23"/>
        <v>0</v>
      </c>
    </row>
    <row r="1421" spans="1:124" ht="27" customHeight="1" x14ac:dyDescent="0.3">
      <c r="A1421" s="175" t="s">
        <v>409</v>
      </c>
      <c r="B1421" s="13">
        <v>936</v>
      </c>
      <c r="C1421" s="6" t="s">
        <v>169</v>
      </c>
      <c r="D1421" s="6" t="s">
        <v>115</v>
      </c>
      <c r="E1421" s="15" t="s">
        <v>44</v>
      </c>
      <c r="F1421" s="14" t="s">
        <v>50</v>
      </c>
      <c r="G1421" s="57">
        <f>G1422</f>
        <v>860</v>
      </c>
      <c r="H1421" s="116"/>
      <c r="I1421" s="117"/>
      <c r="J1421" s="116"/>
      <c r="K1421" s="80"/>
      <c r="L1421" s="79"/>
      <c r="M1421" s="79"/>
      <c r="AG1421" s="79"/>
      <c r="AH1421" s="79"/>
      <c r="DT1421" s="99">
        <f t="shared" si="23"/>
        <v>0</v>
      </c>
    </row>
    <row r="1422" spans="1:124" ht="25.5" customHeight="1" x14ac:dyDescent="0.3">
      <c r="A1422" s="143" t="s">
        <v>316</v>
      </c>
      <c r="B1422" s="13">
        <v>936</v>
      </c>
      <c r="C1422" s="6" t="s">
        <v>169</v>
      </c>
      <c r="D1422" s="6" t="s">
        <v>115</v>
      </c>
      <c r="E1422" s="13" t="s">
        <v>317</v>
      </c>
      <c r="F1422" s="14" t="s">
        <v>50</v>
      </c>
      <c r="G1422" s="57">
        <f>G1423</f>
        <v>860</v>
      </c>
      <c r="H1422" s="116"/>
      <c r="I1422" s="117"/>
      <c r="J1422" s="116"/>
      <c r="K1422" s="80"/>
      <c r="L1422" s="79"/>
      <c r="M1422" s="79"/>
      <c r="AG1422" s="79"/>
      <c r="AH1422" s="79"/>
      <c r="DT1422" s="99">
        <f t="shared" si="23"/>
        <v>0</v>
      </c>
    </row>
    <row r="1423" spans="1:124" ht="31.5" customHeight="1" x14ac:dyDescent="0.3">
      <c r="A1423" s="143" t="s">
        <v>175</v>
      </c>
      <c r="B1423" s="13">
        <v>936</v>
      </c>
      <c r="C1423" s="6" t="s">
        <v>169</v>
      </c>
      <c r="D1423" s="6" t="s">
        <v>115</v>
      </c>
      <c r="E1423" s="13" t="s">
        <v>317</v>
      </c>
      <c r="F1423" s="14" t="s">
        <v>176</v>
      </c>
      <c r="G1423" s="57">
        <f>DT1423</f>
        <v>860</v>
      </c>
      <c r="H1423" s="116">
        <v>858</v>
      </c>
      <c r="I1423" s="117"/>
      <c r="J1423" s="116"/>
      <c r="K1423" s="80"/>
      <c r="L1423" s="79"/>
      <c r="M1423" s="79">
        <v>1000</v>
      </c>
      <c r="U1423">
        <v>-131</v>
      </c>
      <c r="Z1423">
        <v>-60</v>
      </c>
      <c r="AC1423">
        <v>333</v>
      </c>
      <c r="AG1423" s="79"/>
      <c r="AH1423" s="79">
        <v>7.5720000000000001</v>
      </c>
      <c r="AK1423" s="79">
        <v>766.5</v>
      </c>
      <c r="BE1423" s="226">
        <f>143+141</f>
        <v>284</v>
      </c>
      <c r="BH1423" s="233">
        <v>302</v>
      </c>
      <c r="BL1423" s="194">
        <v>281.23442999999997</v>
      </c>
      <c r="BN1423" s="237">
        <v>890</v>
      </c>
      <c r="CH1423" s="258">
        <v>300</v>
      </c>
      <c r="CJ1423" s="194">
        <v>300</v>
      </c>
      <c r="CP1423" s="259">
        <v>300</v>
      </c>
      <c r="CR1423" s="99">
        <v>860</v>
      </c>
      <c r="CZ1423" s="194">
        <v>200</v>
      </c>
      <c r="DC1423" s="194">
        <v>350</v>
      </c>
      <c r="DH1423" s="194">
        <v>336</v>
      </c>
      <c r="DS1423" s="99">
        <v>860</v>
      </c>
      <c r="DT1423" s="99">
        <f t="shared" si="23"/>
        <v>860</v>
      </c>
    </row>
    <row r="1424" spans="1:124" hidden="1" x14ac:dyDescent="0.3">
      <c r="A1424" s="155" t="s">
        <v>167</v>
      </c>
      <c r="B1424" s="12">
        <v>936</v>
      </c>
      <c r="C1424" s="19">
        <v>10</v>
      </c>
      <c r="D1424" s="19" t="s">
        <v>117</v>
      </c>
      <c r="E1424" s="12" t="s">
        <v>49</v>
      </c>
      <c r="F1424" s="9" t="s">
        <v>50</v>
      </c>
      <c r="G1424" s="68">
        <f>+G1441</f>
        <v>0</v>
      </c>
      <c r="H1424" s="116"/>
      <c r="I1424" s="117"/>
      <c r="J1424" s="116"/>
      <c r="K1424" s="80"/>
      <c r="L1424" s="79"/>
      <c r="M1424" s="79"/>
      <c r="AG1424" s="79"/>
      <c r="AH1424" s="79"/>
      <c r="DT1424" s="99">
        <f t="shared" si="23"/>
        <v>0</v>
      </c>
    </row>
    <row r="1425" spans="1:124" ht="56.25" hidden="1" x14ac:dyDescent="0.3">
      <c r="A1425" s="143" t="s">
        <v>38</v>
      </c>
      <c r="B1425" s="13" t="s">
        <v>285</v>
      </c>
      <c r="C1425" s="6" t="s">
        <v>169</v>
      </c>
      <c r="D1425" s="6" t="s">
        <v>117</v>
      </c>
      <c r="E1425" s="13" t="s">
        <v>400</v>
      </c>
      <c r="F1425" s="14" t="s">
        <v>50</v>
      </c>
      <c r="G1425" s="57">
        <f>G1426</f>
        <v>0</v>
      </c>
      <c r="H1425" s="116"/>
      <c r="I1425" s="117"/>
      <c r="J1425" s="116"/>
      <c r="K1425" s="80"/>
      <c r="L1425" s="79"/>
      <c r="M1425" s="79"/>
      <c r="AG1425" s="79"/>
      <c r="AH1425" s="79"/>
      <c r="DT1425" s="99">
        <f t="shared" si="23"/>
        <v>0</v>
      </c>
    </row>
    <row r="1426" spans="1:124" ht="37.5" hidden="1" x14ac:dyDescent="0.3">
      <c r="A1426" s="143" t="s">
        <v>139</v>
      </c>
      <c r="B1426" s="13">
        <v>936</v>
      </c>
      <c r="C1426" s="6" t="s">
        <v>169</v>
      </c>
      <c r="D1426" s="6" t="s">
        <v>117</v>
      </c>
      <c r="E1426" s="13" t="s">
        <v>72</v>
      </c>
      <c r="F1426" s="14" t="s">
        <v>50</v>
      </c>
      <c r="G1426" s="57">
        <f>G1427</f>
        <v>0</v>
      </c>
      <c r="H1426" s="116"/>
      <c r="I1426" s="117"/>
      <c r="J1426" s="116"/>
      <c r="K1426" s="80"/>
      <c r="L1426" s="79"/>
      <c r="M1426" s="79"/>
      <c r="AG1426" s="79"/>
      <c r="AH1426" s="79"/>
      <c r="DT1426" s="99">
        <f t="shared" si="23"/>
        <v>0</v>
      </c>
    </row>
    <row r="1427" spans="1:124" ht="33" hidden="1" customHeight="1" x14ac:dyDescent="0.3">
      <c r="A1427" s="143" t="s">
        <v>62</v>
      </c>
      <c r="B1427" s="13">
        <v>936</v>
      </c>
      <c r="C1427" s="6" t="s">
        <v>169</v>
      </c>
      <c r="D1427" s="6" t="s">
        <v>117</v>
      </c>
      <c r="E1427" s="13" t="s">
        <v>154</v>
      </c>
      <c r="F1427" s="14" t="s">
        <v>50</v>
      </c>
      <c r="G1427" s="57">
        <f>G1428</f>
        <v>0</v>
      </c>
      <c r="H1427" s="116"/>
      <c r="I1427" s="117"/>
      <c r="J1427" s="116"/>
      <c r="K1427" s="80"/>
      <c r="L1427" s="79"/>
      <c r="M1427" s="79"/>
      <c r="AG1427" s="79"/>
      <c r="AH1427" s="79"/>
      <c r="DT1427" s="99">
        <f t="shared" si="23"/>
        <v>0</v>
      </c>
    </row>
    <row r="1428" spans="1:124" ht="33" hidden="1" customHeight="1" x14ac:dyDescent="0.3">
      <c r="A1428" s="143" t="s">
        <v>153</v>
      </c>
      <c r="B1428" s="13">
        <v>936</v>
      </c>
      <c r="C1428" s="6" t="s">
        <v>169</v>
      </c>
      <c r="D1428" s="6" t="s">
        <v>117</v>
      </c>
      <c r="E1428" s="14" t="s">
        <v>155</v>
      </c>
      <c r="F1428" s="14" t="s">
        <v>50</v>
      </c>
      <c r="G1428" s="57">
        <f>G1429</f>
        <v>0</v>
      </c>
      <c r="H1428" s="116"/>
      <c r="I1428" s="117"/>
      <c r="J1428" s="116"/>
      <c r="K1428" s="80"/>
      <c r="L1428" s="79"/>
      <c r="M1428" s="79"/>
      <c r="AG1428" s="79"/>
      <c r="AH1428" s="79"/>
      <c r="DT1428" s="99">
        <f t="shared" si="23"/>
        <v>0</v>
      </c>
    </row>
    <row r="1429" spans="1:124" ht="37.5" hidden="1" x14ac:dyDescent="0.3">
      <c r="A1429" s="143" t="s">
        <v>175</v>
      </c>
      <c r="B1429" s="13">
        <v>936</v>
      </c>
      <c r="C1429" s="6" t="s">
        <v>169</v>
      </c>
      <c r="D1429" s="6" t="s">
        <v>117</v>
      </c>
      <c r="E1429" s="14" t="s">
        <v>155</v>
      </c>
      <c r="F1429" s="14" t="s">
        <v>176</v>
      </c>
      <c r="G1429" s="72">
        <v>0</v>
      </c>
      <c r="H1429" s="116">
        <v>10</v>
      </c>
      <c r="I1429" s="117"/>
      <c r="J1429" s="116"/>
      <c r="K1429" s="80"/>
      <c r="L1429" s="79"/>
      <c r="M1429" s="79"/>
      <c r="AG1429" s="79"/>
      <c r="AH1429" s="79"/>
      <c r="AK1429" s="79">
        <v>0</v>
      </c>
      <c r="DT1429" s="99">
        <f t="shared" si="23"/>
        <v>0</v>
      </c>
    </row>
    <row r="1430" spans="1:124" ht="56.25" hidden="1" x14ac:dyDescent="0.3">
      <c r="A1430" s="156" t="s">
        <v>0</v>
      </c>
      <c r="B1430" s="13">
        <v>936</v>
      </c>
      <c r="C1430" s="6">
        <v>10</v>
      </c>
      <c r="D1430" s="6" t="s">
        <v>117</v>
      </c>
      <c r="E1430" s="15" t="s">
        <v>92</v>
      </c>
      <c r="F1430" s="14" t="s">
        <v>50</v>
      </c>
      <c r="G1430" s="57">
        <f>G1431</f>
        <v>0</v>
      </c>
      <c r="H1430" s="116"/>
      <c r="I1430" s="117"/>
      <c r="J1430" s="116"/>
      <c r="K1430" s="80"/>
      <c r="L1430" s="79"/>
      <c r="M1430" s="79"/>
      <c r="AG1430" s="79"/>
      <c r="AH1430" s="79"/>
      <c r="DT1430" s="99">
        <f t="shared" ref="DT1430:DT1493" si="25">DN1430+DO1430+DP1430+DQ1430+DR1430+DS1430</f>
        <v>0</v>
      </c>
    </row>
    <row r="1431" spans="1:124" ht="57.75" hidden="1" customHeight="1" x14ac:dyDescent="0.3">
      <c r="A1431" s="156" t="s">
        <v>2</v>
      </c>
      <c r="B1431" s="13">
        <v>936</v>
      </c>
      <c r="C1431" s="6">
        <v>10</v>
      </c>
      <c r="D1431" s="6" t="s">
        <v>117</v>
      </c>
      <c r="E1431" s="15" t="s">
        <v>26</v>
      </c>
      <c r="F1431" s="14" t="s">
        <v>50</v>
      </c>
      <c r="G1431" s="57">
        <f>G1432</f>
        <v>0</v>
      </c>
      <c r="H1431" s="116"/>
      <c r="I1431" s="117"/>
      <c r="J1431" s="116"/>
      <c r="K1431" s="80"/>
      <c r="L1431" s="79"/>
      <c r="M1431" s="79"/>
      <c r="AG1431" s="79"/>
      <c r="AH1431" s="79"/>
      <c r="DT1431" s="99">
        <f t="shared" si="25"/>
        <v>0</v>
      </c>
    </row>
    <row r="1432" spans="1:124" ht="48.75" hidden="1" customHeight="1" x14ac:dyDescent="0.3">
      <c r="A1432" s="143" t="s">
        <v>168</v>
      </c>
      <c r="B1432" s="13">
        <v>936</v>
      </c>
      <c r="C1432" s="14" t="s">
        <v>169</v>
      </c>
      <c r="D1432" s="6" t="s">
        <v>117</v>
      </c>
      <c r="E1432" s="15" t="s">
        <v>170</v>
      </c>
      <c r="F1432" s="14" t="s">
        <v>50</v>
      </c>
      <c r="G1432" s="57">
        <f>G1436</f>
        <v>0</v>
      </c>
      <c r="H1432" s="116"/>
      <c r="I1432" s="117"/>
      <c r="J1432" s="116"/>
      <c r="K1432" s="80"/>
      <c r="L1432" s="79"/>
      <c r="M1432" s="79"/>
      <c r="AG1432" s="79"/>
      <c r="AH1432" s="79"/>
      <c r="DT1432" s="99">
        <f t="shared" si="25"/>
        <v>0</v>
      </c>
    </row>
    <row r="1433" spans="1:124" hidden="1" outlineLevel="1" x14ac:dyDescent="0.3">
      <c r="A1433" s="143" t="s">
        <v>62</v>
      </c>
      <c r="B1433" s="13">
        <v>936</v>
      </c>
      <c r="C1433" s="6" t="s">
        <v>169</v>
      </c>
      <c r="D1433" s="6" t="s">
        <v>117</v>
      </c>
      <c r="E1433" s="14" t="s">
        <v>287</v>
      </c>
      <c r="F1433" s="14" t="s">
        <v>50</v>
      </c>
      <c r="G1433" s="33" t="e">
        <f>G1434</f>
        <v>#REF!</v>
      </c>
      <c r="H1433" s="133"/>
      <c r="I1433" s="134"/>
      <c r="J1433" s="133"/>
      <c r="K1433" s="80"/>
      <c r="L1433" s="79"/>
      <c r="M1433" s="79"/>
      <c r="AG1433" s="79"/>
      <c r="AH1433" s="79"/>
      <c r="DT1433" s="99">
        <f t="shared" si="25"/>
        <v>0</v>
      </c>
    </row>
    <row r="1434" spans="1:124" hidden="1" outlineLevel="1" x14ac:dyDescent="0.3">
      <c r="A1434" s="143" t="s">
        <v>318</v>
      </c>
      <c r="B1434" s="13">
        <v>936</v>
      </c>
      <c r="C1434" s="6" t="s">
        <v>169</v>
      </c>
      <c r="D1434" s="6" t="s">
        <v>117</v>
      </c>
      <c r="E1434" s="14" t="s">
        <v>319</v>
      </c>
      <c r="F1434" s="14" t="s">
        <v>50</v>
      </c>
      <c r="G1434" s="33" t="e">
        <f>#REF!</f>
        <v>#REF!</v>
      </c>
      <c r="H1434" s="133"/>
      <c r="I1434" s="134"/>
      <c r="J1434" s="133"/>
      <c r="K1434" s="80"/>
      <c r="L1434" s="79"/>
      <c r="M1434" s="79"/>
      <c r="AG1434" s="79"/>
      <c r="AH1434" s="79"/>
      <c r="DT1434" s="99">
        <f t="shared" si="25"/>
        <v>0</v>
      </c>
    </row>
    <row r="1435" spans="1:124" ht="37.5" hidden="1" outlineLevel="1" x14ac:dyDescent="0.3">
      <c r="A1435" s="143" t="s">
        <v>146</v>
      </c>
      <c r="B1435" s="13">
        <v>936</v>
      </c>
      <c r="C1435" s="14" t="s">
        <v>123</v>
      </c>
      <c r="D1435" s="6" t="s">
        <v>123</v>
      </c>
      <c r="E1435" s="14" t="s">
        <v>148</v>
      </c>
      <c r="F1435" s="14" t="s">
        <v>50</v>
      </c>
      <c r="G1435" s="57">
        <f>G1436</f>
        <v>0</v>
      </c>
      <c r="H1435" s="116"/>
      <c r="I1435" s="117"/>
      <c r="J1435" s="116"/>
      <c r="K1435" s="80"/>
      <c r="L1435" s="79"/>
      <c r="M1435" s="79"/>
      <c r="AG1435" s="79"/>
      <c r="AH1435" s="79"/>
      <c r="DT1435" s="99">
        <f t="shared" si="25"/>
        <v>0</v>
      </c>
    </row>
    <row r="1436" spans="1:124" ht="36.75" hidden="1" customHeight="1" x14ac:dyDescent="0.3">
      <c r="A1436" s="143" t="s">
        <v>264</v>
      </c>
      <c r="B1436" s="13">
        <v>936</v>
      </c>
      <c r="C1436" s="14" t="s">
        <v>169</v>
      </c>
      <c r="D1436" s="6" t="s">
        <v>117</v>
      </c>
      <c r="E1436" s="15" t="s">
        <v>170</v>
      </c>
      <c r="F1436" s="1">
        <v>600</v>
      </c>
      <c r="G1436" s="72">
        <v>0</v>
      </c>
      <c r="H1436" s="116"/>
      <c r="I1436" s="117"/>
      <c r="J1436" s="116"/>
      <c r="K1436" s="80"/>
      <c r="L1436" s="79">
        <v>-70.5</v>
      </c>
      <c r="M1436" s="79"/>
      <c r="AG1436" s="79"/>
      <c r="AH1436" s="79"/>
      <c r="DT1436" s="99">
        <f t="shared" si="25"/>
        <v>0</v>
      </c>
    </row>
    <row r="1437" spans="1:124" ht="36.75" hidden="1" customHeight="1" x14ac:dyDescent="0.3">
      <c r="A1437" s="208" t="s">
        <v>16</v>
      </c>
      <c r="B1437" s="13">
        <v>936</v>
      </c>
      <c r="C1437" s="6" t="s">
        <v>169</v>
      </c>
      <c r="D1437" s="6" t="s">
        <v>117</v>
      </c>
      <c r="E1437" s="15" t="s">
        <v>32</v>
      </c>
      <c r="F1437" s="14" t="s">
        <v>50</v>
      </c>
      <c r="G1437" s="33">
        <f>G1438</f>
        <v>0</v>
      </c>
      <c r="H1437" s="133"/>
      <c r="I1437" s="134"/>
      <c r="J1437" s="133"/>
      <c r="K1437" s="80"/>
      <c r="L1437" s="79"/>
      <c r="M1437" s="79"/>
      <c r="AG1437" s="79"/>
      <c r="AH1437" s="79"/>
      <c r="DT1437" s="99">
        <f t="shared" si="25"/>
        <v>0</v>
      </c>
    </row>
    <row r="1438" spans="1:124" ht="27.75" hidden="1" customHeight="1" x14ac:dyDescent="0.3">
      <c r="A1438" s="143" t="s">
        <v>409</v>
      </c>
      <c r="B1438" s="13">
        <v>936</v>
      </c>
      <c r="C1438" s="6" t="s">
        <v>169</v>
      </c>
      <c r="D1438" s="6" t="s">
        <v>117</v>
      </c>
      <c r="E1438" s="15" t="s">
        <v>44</v>
      </c>
      <c r="F1438" s="14" t="s">
        <v>50</v>
      </c>
      <c r="G1438" s="33">
        <f>G1439</f>
        <v>0</v>
      </c>
      <c r="H1438" s="133"/>
      <c r="I1438" s="134"/>
      <c r="J1438" s="133"/>
      <c r="K1438" s="80"/>
      <c r="L1438" s="79"/>
      <c r="M1438" s="79"/>
      <c r="AG1438" s="79"/>
      <c r="AH1438" s="79"/>
      <c r="DT1438" s="99">
        <f t="shared" si="25"/>
        <v>0</v>
      </c>
    </row>
    <row r="1439" spans="1:124" ht="30" hidden="1" customHeight="1" x14ac:dyDescent="0.3">
      <c r="A1439" s="143" t="s">
        <v>184</v>
      </c>
      <c r="B1439" s="13">
        <v>936</v>
      </c>
      <c r="C1439" s="6" t="s">
        <v>169</v>
      </c>
      <c r="D1439" s="6" t="s">
        <v>117</v>
      </c>
      <c r="E1439" s="15" t="s">
        <v>185</v>
      </c>
      <c r="F1439" s="14" t="s">
        <v>50</v>
      </c>
      <c r="G1439" s="33">
        <f>G1440</f>
        <v>0</v>
      </c>
      <c r="H1439" s="133"/>
      <c r="I1439" s="134"/>
      <c r="J1439" s="133"/>
      <c r="K1439" s="80"/>
      <c r="L1439" s="79"/>
      <c r="M1439" s="79"/>
      <c r="AG1439" s="79"/>
      <c r="AH1439" s="79"/>
      <c r="DT1439" s="99">
        <f t="shared" si="25"/>
        <v>0</v>
      </c>
    </row>
    <row r="1440" spans="1:124" ht="29.25" hidden="1" customHeight="1" x14ac:dyDescent="0.3">
      <c r="A1440" s="143" t="s">
        <v>175</v>
      </c>
      <c r="B1440" s="13">
        <v>936</v>
      </c>
      <c r="C1440" s="6" t="s">
        <v>169</v>
      </c>
      <c r="D1440" s="6" t="s">
        <v>117</v>
      </c>
      <c r="E1440" s="15" t="s">
        <v>185</v>
      </c>
      <c r="F1440" s="14" t="s">
        <v>176</v>
      </c>
      <c r="G1440" s="33">
        <v>0</v>
      </c>
      <c r="H1440" s="133"/>
      <c r="I1440" s="134"/>
      <c r="J1440" s="133"/>
      <c r="K1440" s="80"/>
      <c r="L1440" s="79"/>
      <c r="M1440" s="79"/>
      <c r="AG1440" s="79"/>
      <c r="AH1440" s="79"/>
      <c r="DT1440" s="99">
        <f t="shared" si="25"/>
        <v>0</v>
      </c>
    </row>
    <row r="1441" spans="1:124" ht="64.5" hidden="1" customHeight="1" x14ac:dyDescent="0.3">
      <c r="A1441" s="156" t="s">
        <v>0</v>
      </c>
      <c r="B1441" s="13">
        <v>936</v>
      </c>
      <c r="C1441" s="6" t="s">
        <v>169</v>
      </c>
      <c r="D1441" s="6" t="s">
        <v>117</v>
      </c>
      <c r="E1441" s="15" t="s">
        <v>92</v>
      </c>
      <c r="F1441" s="14" t="s">
        <v>50</v>
      </c>
      <c r="G1441" s="33">
        <f>G1442+G1444</f>
        <v>0</v>
      </c>
      <c r="H1441" s="133"/>
      <c r="I1441" s="134"/>
      <c r="J1441" s="133"/>
      <c r="K1441" s="80"/>
      <c r="L1441" s="79"/>
      <c r="M1441" s="79"/>
      <c r="AG1441" s="79"/>
      <c r="AH1441" s="79"/>
      <c r="DT1441" s="99">
        <f t="shared" si="25"/>
        <v>0</v>
      </c>
    </row>
    <row r="1442" spans="1:124" ht="88.5" hidden="1" customHeight="1" x14ac:dyDescent="0.3">
      <c r="A1442" s="232" t="s">
        <v>819</v>
      </c>
      <c r="B1442" s="13">
        <v>936</v>
      </c>
      <c r="C1442" s="6" t="s">
        <v>169</v>
      </c>
      <c r="D1442" s="6" t="s">
        <v>117</v>
      </c>
      <c r="E1442" s="15" t="s">
        <v>818</v>
      </c>
      <c r="F1442" s="14" t="s">
        <v>50</v>
      </c>
      <c r="G1442" s="33">
        <f>G1443</f>
        <v>0</v>
      </c>
      <c r="H1442" s="133"/>
      <c r="I1442" s="134"/>
      <c r="J1442" s="133"/>
      <c r="K1442" s="80"/>
      <c r="L1442" s="79"/>
      <c r="M1442" s="79"/>
      <c r="AG1442" s="79"/>
      <c r="AH1442" s="79"/>
      <c r="DT1442" s="99">
        <f t="shared" si="25"/>
        <v>0</v>
      </c>
    </row>
    <row r="1443" spans="1:124" ht="45" hidden="1" customHeight="1" x14ac:dyDescent="0.3">
      <c r="A1443" s="143" t="s">
        <v>425</v>
      </c>
      <c r="B1443" s="13">
        <v>936</v>
      </c>
      <c r="C1443" s="6" t="s">
        <v>169</v>
      </c>
      <c r="D1443" s="6" t="s">
        <v>117</v>
      </c>
      <c r="E1443" s="15" t="s">
        <v>818</v>
      </c>
      <c r="F1443" s="14" t="s">
        <v>59</v>
      </c>
      <c r="G1443" s="33">
        <f>DT1443</f>
        <v>0</v>
      </c>
      <c r="H1443" s="133"/>
      <c r="I1443" s="134"/>
      <c r="J1443" s="133"/>
      <c r="K1443" s="80"/>
      <c r="L1443" s="79"/>
      <c r="M1443" s="79"/>
      <c r="AG1443" s="79"/>
      <c r="AH1443" s="79"/>
      <c r="BT1443" s="151">
        <v>196.2</v>
      </c>
      <c r="CI1443" s="194">
        <v>299.3</v>
      </c>
      <c r="CQ1443" s="99">
        <v>519.20000000000005</v>
      </c>
      <c r="CT1443" s="258">
        <v>-74.7</v>
      </c>
      <c r="DI1443" s="270">
        <v>573.1</v>
      </c>
      <c r="DT1443" s="99">
        <f t="shared" si="25"/>
        <v>0</v>
      </c>
    </row>
    <row r="1444" spans="1:124" ht="45" hidden="1" customHeight="1" x14ac:dyDescent="0.3">
      <c r="A1444" s="235" t="s">
        <v>168</v>
      </c>
      <c r="B1444" s="13">
        <v>936</v>
      </c>
      <c r="C1444" s="6" t="s">
        <v>169</v>
      </c>
      <c r="D1444" s="6" t="s">
        <v>117</v>
      </c>
      <c r="E1444" s="94" t="s">
        <v>791</v>
      </c>
      <c r="F1444" s="14" t="s">
        <v>50</v>
      </c>
      <c r="G1444" s="33">
        <f>G1445</f>
        <v>0</v>
      </c>
      <c r="H1444" s="133"/>
      <c r="I1444" s="134"/>
      <c r="J1444" s="133"/>
      <c r="K1444" s="80"/>
      <c r="L1444" s="79"/>
      <c r="M1444" s="79"/>
      <c r="AG1444" s="79"/>
      <c r="AH1444" s="79"/>
      <c r="DT1444" s="99">
        <f t="shared" si="25"/>
        <v>0</v>
      </c>
    </row>
    <row r="1445" spans="1:124" ht="45" hidden="1" customHeight="1" x14ac:dyDescent="0.3">
      <c r="A1445" s="143" t="s">
        <v>425</v>
      </c>
      <c r="B1445" s="13">
        <v>936</v>
      </c>
      <c r="C1445" s="6" t="s">
        <v>169</v>
      </c>
      <c r="D1445" s="6" t="s">
        <v>117</v>
      </c>
      <c r="E1445" s="94" t="s">
        <v>791</v>
      </c>
      <c r="F1445" s="14" t="s">
        <v>59</v>
      </c>
      <c r="G1445" s="33">
        <v>0</v>
      </c>
      <c r="H1445" s="133"/>
      <c r="I1445" s="134"/>
      <c r="J1445" s="133"/>
      <c r="K1445" s="80"/>
      <c r="L1445" s="79"/>
      <c r="M1445" s="79"/>
      <c r="AG1445" s="79"/>
      <c r="AH1445" s="79"/>
      <c r="CD1445" s="226">
        <v>162.19999999999999</v>
      </c>
      <c r="CL1445" s="194">
        <v>-162.19999999999999</v>
      </c>
      <c r="CY1445" s="194">
        <v>57.6</v>
      </c>
      <c r="DC1445" s="272">
        <f>120+180</f>
        <v>300</v>
      </c>
      <c r="DF1445" s="194">
        <v>400</v>
      </c>
      <c r="DH1445" s="194">
        <v>140</v>
      </c>
      <c r="DJ1445" s="194">
        <v>-47.2</v>
      </c>
      <c r="DL1445" s="270">
        <v>-448.2</v>
      </c>
      <c r="DT1445" s="99">
        <f t="shared" si="25"/>
        <v>0</v>
      </c>
    </row>
    <row r="1446" spans="1:124" x14ac:dyDescent="0.3">
      <c r="A1446" s="155" t="s">
        <v>171</v>
      </c>
      <c r="B1446" s="12">
        <v>936</v>
      </c>
      <c r="C1446" s="19">
        <v>10</v>
      </c>
      <c r="D1446" s="19" t="s">
        <v>121</v>
      </c>
      <c r="E1446" s="12" t="s">
        <v>49</v>
      </c>
      <c r="F1446" s="9" t="s">
        <v>50</v>
      </c>
      <c r="G1446" s="68">
        <f>G1447+G1456+G1465+G1488</f>
        <v>17997.5</v>
      </c>
      <c r="H1446" s="116"/>
      <c r="I1446" s="117"/>
      <c r="J1446" s="116"/>
      <c r="K1446" s="80"/>
      <c r="L1446" s="79"/>
      <c r="M1446" s="79"/>
      <c r="AG1446" s="79"/>
      <c r="AH1446" s="79"/>
      <c r="DT1446" s="99">
        <f t="shared" si="25"/>
        <v>0</v>
      </c>
    </row>
    <row r="1447" spans="1:124" ht="44.25" hidden="1" customHeight="1" x14ac:dyDescent="0.3">
      <c r="A1447" s="143" t="s">
        <v>38</v>
      </c>
      <c r="B1447" s="14" t="s">
        <v>285</v>
      </c>
      <c r="C1447" s="6">
        <v>10</v>
      </c>
      <c r="D1447" s="6" t="s">
        <v>121</v>
      </c>
      <c r="E1447" s="15" t="s">
        <v>400</v>
      </c>
      <c r="F1447" s="14" t="s">
        <v>50</v>
      </c>
      <c r="G1447" s="34">
        <f>G1448</f>
        <v>0</v>
      </c>
      <c r="H1447" s="129"/>
      <c r="I1447" s="130"/>
      <c r="J1447" s="129"/>
      <c r="K1447" s="80"/>
      <c r="L1447" s="79"/>
      <c r="M1447" s="79"/>
      <c r="AG1447" s="79"/>
      <c r="AH1447" s="79"/>
      <c r="DT1447" s="99">
        <f t="shared" si="25"/>
        <v>0</v>
      </c>
    </row>
    <row r="1448" spans="1:124" ht="56.25" hidden="1" x14ac:dyDescent="0.3">
      <c r="A1448" s="156" t="s">
        <v>138</v>
      </c>
      <c r="B1448" s="14" t="s">
        <v>285</v>
      </c>
      <c r="C1448" s="6">
        <v>10</v>
      </c>
      <c r="D1448" s="6" t="s">
        <v>121</v>
      </c>
      <c r="E1448" s="15" t="s">
        <v>51</v>
      </c>
      <c r="F1448" s="14" t="s">
        <v>50</v>
      </c>
      <c r="G1448" s="34">
        <f>G1449+G1452</f>
        <v>0</v>
      </c>
      <c r="H1448" s="129"/>
      <c r="I1448" s="130"/>
      <c r="J1448" s="129"/>
      <c r="K1448" s="80"/>
      <c r="L1448" s="79"/>
      <c r="M1448" s="79"/>
      <c r="AG1448" s="79"/>
      <c r="AH1448" s="79"/>
      <c r="AK1448" s="79">
        <v>0</v>
      </c>
      <c r="DT1448" s="99">
        <f t="shared" si="25"/>
        <v>0</v>
      </c>
    </row>
    <row r="1449" spans="1:124" ht="38.25" hidden="1" customHeight="1" x14ac:dyDescent="0.3">
      <c r="A1449" s="143" t="s">
        <v>52</v>
      </c>
      <c r="B1449" s="14" t="s">
        <v>285</v>
      </c>
      <c r="C1449" s="6">
        <v>10</v>
      </c>
      <c r="D1449" s="6" t="s">
        <v>121</v>
      </c>
      <c r="E1449" s="14" t="s">
        <v>53</v>
      </c>
      <c r="F1449" s="14" t="s">
        <v>50</v>
      </c>
      <c r="G1449" s="57">
        <f>G1450+G1455</f>
        <v>0</v>
      </c>
      <c r="H1449" s="116"/>
      <c r="I1449" s="117"/>
      <c r="J1449" s="116"/>
      <c r="K1449" s="80"/>
      <c r="L1449" s="79"/>
      <c r="M1449" s="79"/>
      <c r="AG1449" s="79"/>
      <c r="AH1449" s="79"/>
      <c r="DT1449" s="99">
        <f t="shared" si="25"/>
        <v>0</v>
      </c>
    </row>
    <row r="1450" spans="1:124" hidden="1" x14ac:dyDescent="0.3">
      <c r="A1450" s="143" t="s">
        <v>74</v>
      </c>
      <c r="B1450" s="14" t="s">
        <v>285</v>
      </c>
      <c r="C1450" s="6">
        <v>10</v>
      </c>
      <c r="D1450" s="6" t="s">
        <v>121</v>
      </c>
      <c r="E1450" s="14" t="s">
        <v>42</v>
      </c>
      <c r="F1450" s="14" t="s">
        <v>50</v>
      </c>
      <c r="G1450" s="57">
        <f>G1451</f>
        <v>0</v>
      </c>
      <c r="H1450" s="116"/>
      <c r="I1450" s="117"/>
      <c r="J1450" s="116"/>
      <c r="K1450" s="80"/>
      <c r="L1450" s="79"/>
      <c r="M1450" s="79"/>
      <c r="AG1450" s="79"/>
      <c r="AH1450" s="79"/>
      <c r="DT1450" s="99">
        <f t="shared" si="25"/>
        <v>0</v>
      </c>
    </row>
    <row r="1451" spans="1:124" ht="42" hidden="1" customHeight="1" x14ac:dyDescent="0.3">
      <c r="A1451" s="143" t="s">
        <v>264</v>
      </c>
      <c r="B1451" s="14" t="s">
        <v>285</v>
      </c>
      <c r="C1451" s="6">
        <v>10</v>
      </c>
      <c r="D1451" s="6" t="s">
        <v>121</v>
      </c>
      <c r="E1451" s="14" t="s">
        <v>42</v>
      </c>
      <c r="F1451" s="14" t="s">
        <v>261</v>
      </c>
      <c r="G1451" s="57">
        <v>0</v>
      </c>
      <c r="H1451" s="116"/>
      <c r="I1451" s="117"/>
      <c r="J1451" s="116"/>
      <c r="K1451" s="80"/>
      <c r="L1451" s="79">
        <v>-1.4</v>
      </c>
      <c r="M1451" s="79"/>
      <c r="AG1451" s="79"/>
      <c r="AH1451" s="79"/>
      <c r="DT1451" s="99">
        <f t="shared" si="25"/>
        <v>0</v>
      </c>
    </row>
    <row r="1452" spans="1:124" ht="42" hidden="1" customHeight="1" x14ac:dyDescent="0.3">
      <c r="A1452" s="143" t="s">
        <v>68</v>
      </c>
      <c r="B1452" s="13">
        <v>936</v>
      </c>
      <c r="C1452" s="6">
        <v>10</v>
      </c>
      <c r="D1452" s="6" t="s">
        <v>121</v>
      </c>
      <c r="E1452" s="14" t="s">
        <v>69</v>
      </c>
      <c r="F1452" s="14" t="s">
        <v>50</v>
      </c>
      <c r="G1452" s="57">
        <f>G1453</f>
        <v>0</v>
      </c>
      <c r="H1452" s="116"/>
      <c r="I1452" s="117"/>
      <c r="J1452" s="116"/>
      <c r="K1452" s="80"/>
      <c r="L1452" s="79"/>
      <c r="M1452" s="79"/>
      <c r="AG1452" s="79"/>
      <c r="AH1452" s="79"/>
      <c r="DT1452" s="99">
        <f t="shared" si="25"/>
        <v>0</v>
      </c>
    </row>
    <row r="1453" spans="1:124" ht="96" hidden="1" customHeight="1" x14ac:dyDescent="0.3">
      <c r="A1453" s="143" t="s">
        <v>76</v>
      </c>
      <c r="B1453" s="13">
        <v>936</v>
      </c>
      <c r="C1453" s="6">
        <v>10</v>
      </c>
      <c r="D1453" s="6" t="s">
        <v>121</v>
      </c>
      <c r="E1453" s="14" t="s">
        <v>41</v>
      </c>
      <c r="F1453" s="14" t="s">
        <v>50</v>
      </c>
      <c r="G1453" s="57">
        <f>G1454</f>
        <v>0</v>
      </c>
      <c r="H1453" s="116"/>
      <c r="I1453" s="117"/>
      <c r="J1453" s="116"/>
      <c r="K1453" s="80"/>
      <c r="L1453" s="79"/>
      <c r="M1453" s="79"/>
      <c r="AG1453" s="79"/>
      <c r="AH1453" s="79"/>
      <c r="DT1453" s="99">
        <f t="shared" si="25"/>
        <v>0</v>
      </c>
    </row>
    <row r="1454" spans="1:124" ht="42" hidden="1" customHeight="1" x14ac:dyDescent="0.3">
      <c r="A1454" s="143" t="s">
        <v>264</v>
      </c>
      <c r="B1454" s="13">
        <v>936</v>
      </c>
      <c r="C1454" s="6">
        <v>10</v>
      </c>
      <c r="D1454" s="6" t="s">
        <v>121</v>
      </c>
      <c r="E1454" s="14" t="s">
        <v>41</v>
      </c>
      <c r="F1454" s="14" t="s">
        <v>261</v>
      </c>
      <c r="G1454" s="57">
        <v>0</v>
      </c>
      <c r="H1454" s="116"/>
      <c r="I1454" s="117"/>
      <c r="J1454" s="116"/>
      <c r="K1454" s="80"/>
      <c r="L1454" s="79"/>
      <c r="M1454" s="79"/>
      <c r="AG1454" s="79"/>
      <c r="AH1454" s="79"/>
      <c r="DT1454" s="99">
        <f t="shared" si="25"/>
        <v>0</v>
      </c>
    </row>
    <row r="1455" spans="1:124" ht="30" hidden="1" customHeight="1" x14ac:dyDescent="0.3">
      <c r="A1455" s="143" t="s">
        <v>559</v>
      </c>
      <c r="B1455" s="14" t="s">
        <v>285</v>
      </c>
      <c r="C1455" s="14" t="s">
        <v>169</v>
      </c>
      <c r="D1455" s="14" t="s">
        <v>121</v>
      </c>
      <c r="E1455" s="14" t="s">
        <v>561</v>
      </c>
      <c r="F1455" s="14" t="s">
        <v>261</v>
      </c>
      <c r="G1455" s="57">
        <v>0</v>
      </c>
      <c r="H1455" s="116"/>
      <c r="I1455" s="117"/>
      <c r="J1455" s="116"/>
      <c r="K1455" s="80"/>
      <c r="L1455" s="79">
        <v>1.4</v>
      </c>
      <c r="M1455" s="79"/>
      <c r="AG1455" s="79"/>
      <c r="AH1455" s="79"/>
      <c r="AK1455" s="79">
        <v>0</v>
      </c>
      <c r="DT1455" s="99">
        <f t="shared" si="25"/>
        <v>0</v>
      </c>
    </row>
    <row r="1456" spans="1:124" ht="48.75" hidden="1" customHeight="1" x14ac:dyDescent="0.3">
      <c r="A1456" s="156" t="s">
        <v>158</v>
      </c>
      <c r="B1456" s="13">
        <v>936</v>
      </c>
      <c r="C1456" s="6">
        <v>10</v>
      </c>
      <c r="D1456" s="6" t="s">
        <v>121</v>
      </c>
      <c r="E1456" s="15" t="s">
        <v>85</v>
      </c>
      <c r="F1456" s="14" t="s">
        <v>50</v>
      </c>
      <c r="G1456" s="57">
        <f>G1457+G1461</f>
        <v>0</v>
      </c>
      <c r="H1456" s="116"/>
      <c r="I1456" s="117"/>
      <c r="J1456" s="116"/>
      <c r="K1456" s="80"/>
      <c r="L1456" s="79"/>
      <c r="M1456" s="79"/>
      <c r="AG1456" s="79"/>
      <c r="AH1456" s="79"/>
      <c r="DT1456" s="99">
        <f t="shared" si="25"/>
        <v>0</v>
      </c>
    </row>
    <row r="1457" spans="1:124" ht="56.25" hidden="1" x14ac:dyDescent="0.3">
      <c r="A1457" s="156" t="s">
        <v>142</v>
      </c>
      <c r="B1457" s="13">
        <v>936</v>
      </c>
      <c r="C1457" s="6">
        <v>10</v>
      </c>
      <c r="D1457" s="6" t="s">
        <v>121</v>
      </c>
      <c r="E1457" s="15" t="s">
        <v>86</v>
      </c>
      <c r="F1457" s="14" t="s">
        <v>50</v>
      </c>
      <c r="G1457" s="57">
        <f>G1458</f>
        <v>0</v>
      </c>
      <c r="H1457" s="116"/>
      <c r="I1457" s="117"/>
      <c r="J1457" s="116"/>
      <c r="K1457" s="80"/>
      <c r="L1457" s="79"/>
      <c r="M1457" s="79"/>
      <c r="AG1457" s="79"/>
      <c r="AH1457" s="79"/>
      <c r="DT1457" s="99">
        <f t="shared" si="25"/>
        <v>0</v>
      </c>
    </row>
    <row r="1458" spans="1:124" ht="37.5" hidden="1" x14ac:dyDescent="0.3">
      <c r="A1458" s="143" t="s">
        <v>52</v>
      </c>
      <c r="B1458" s="13">
        <v>936</v>
      </c>
      <c r="C1458" s="6">
        <v>10</v>
      </c>
      <c r="D1458" s="6" t="s">
        <v>121</v>
      </c>
      <c r="E1458" s="14" t="s">
        <v>305</v>
      </c>
      <c r="F1458" s="14" t="s">
        <v>50</v>
      </c>
      <c r="G1458" s="57">
        <f>G1459</f>
        <v>0</v>
      </c>
      <c r="H1458" s="116"/>
      <c r="I1458" s="117"/>
      <c r="J1458" s="116"/>
      <c r="K1458" s="80"/>
      <c r="L1458" s="79"/>
      <c r="M1458" s="79"/>
      <c r="AG1458" s="79"/>
      <c r="AH1458" s="79"/>
      <c r="DT1458" s="99">
        <f t="shared" si="25"/>
        <v>0</v>
      </c>
    </row>
    <row r="1459" spans="1:124" hidden="1" x14ac:dyDescent="0.3">
      <c r="A1459" s="143" t="s">
        <v>304</v>
      </c>
      <c r="B1459" s="13">
        <v>936</v>
      </c>
      <c r="C1459" s="6">
        <v>10</v>
      </c>
      <c r="D1459" s="6" t="s">
        <v>121</v>
      </c>
      <c r="E1459" s="14" t="s">
        <v>306</v>
      </c>
      <c r="F1459" s="14" t="s">
        <v>50</v>
      </c>
      <c r="G1459" s="57">
        <f>G1460</f>
        <v>0</v>
      </c>
      <c r="H1459" s="116"/>
      <c r="I1459" s="117"/>
      <c r="J1459" s="116"/>
      <c r="K1459" s="80"/>
      <c r="L1459" s="79"/>
      <c r="M1459" s="79"/>
      <c r="AG1459" s="79"/>
      <c r="AH1459" s="79"/>
      <c r="DT1459" s="99">
        <f t="shared" si="25"/>
        <v>0</v>
      </c>
    </row>
    <row r="1460" spans="1:124" ht="41.25" hidden="1" customHeight="1" x14ac:dyDescent="0.3">
      <c r="A1460" s="143" t="s">
        <v>264</v>
      </c>
      <c r="B1460" s="13">
        <v>936</v>
      </c>
      <c r="C1460" s="6">
        <v>10</v>
      </c>
      <c r="D1460" s="6" t="s">
        <v>121</v>
      </c>
      <c r="E1460" s="14" t="s">
        <v>306</v>
      </c>
      <c r="F1460" s="14" t="s">
        <v>261</v>
      </c>
      <c r="G1460" s="57">
        <v>0</v>
      </c>
      <c r="H1460" s="116"/>
      <c r="I1460" s="117"/>
      <c r="J1460" s="116"/>
      <c r="K1460" s="80"/>
      <c r="L1460" s="79"/>
      <c r="M1460" s="79"/>
      <c r="AG1460" s="79"/>
      <c r="AH1460" s="79"/>
      <c r="AK1460" s="79">
        <v>0.9</v>
      </c>
      <c r="DT1460" s="99">
        <f t="shared" si="25"/>
        <v>0</v>
      </c>
    </row>
    <row r="1461" spans="1:124" ht="41.25" hidden="1" customHeight="1" outlineLevel="1" x14ac:dyDescent="0.3">
      <c r="A1461" s="208" t="s">
        <v>214</v>
      </c>
      <c r="B1461" s="13">
        <v>936</v>
      </c>
      <c r="C1461" s="6">
        <v>10</v>
      </c>
      <c r="D1461" s="6" t="s">
        <v>121</v>
      </c>
      <c r="E1461" s="14" t="s">
        <v>89</v>
      </c>
      <c r="F1461" s="14" t="s">
        <v>50</v>
      </c>
      <c r="G1461" s="57">
        <f>G1462</f>
        <v>0</v>
      </c>
      <c r="H1461" s="116"/>
      <c r="I1461" s="117"/>
      <c r="J1461" s="116"/>
      <c r="K1461" s="80"/>
      <c r="L1461" s="79"/>
      <c r="M1461" s="79"/>
      <c r="AG1461" s="79"/>
      <c r="AH1461" s="79"/>
      <c r="DT1461" s="99">
        <f t="shared" si="25"/>
        <v>0</v>
      </c>
    </row>
    <row r="1462" spans="1:124" ht="41.25" hidden="1" customHeight="1" outlineLevel="1" x14ac:dyDescent="0.3">
      <c r="A1462" s="143" t="s">
        <v>52</v>
      </c>
      <c r="B1462" s="13">
        <v>936</v>
      </c>
      <c r="C1462" s="6">
        <v>10</v>
      </c>
      <c r="D1462" s="6" t="s">
        <v>121</v>
      </c>
      <c r="E1462" s="14" t="s">
        <v>216</v>
      </c>
      <c r="F1462" s="14" t="s">
        <v>50</v>
      </c>
      <c r="G1462" s="57">
        <f>G1463</f>
        <v>0</v>
      </c>
      <c r="H1462" s="116"/>
      <c r="I1462" s="117"/>
      <c r="J1462" s="116"/>
      <c r="K1462" s="80"/>
      <c r="L1462" s="79"/>
      <c r="M1462" s="79"/>
      <c r="AG1462" s="79"/>
      <c r="AH1462" s="79"/>
      <c r="DT1462" s="99">
        <f t="shared" si="25"/>
        <v>0</v>
      </c>
    </row>
    <row r="1463" spans="1:124" ht="25.5" hidden="1" customHeight="1" outlineLevel="1" x14ac:dyDescent="0.3">
      <c r="A1463" s="143" t="s">
        <v>215</v>
      </c>
      <c r="B1463" s="13">
        <v>936</v>
      </c>
      <c r="C1463" s="6">
        <v>10</v>
      </c>
      <c r="D1463" s="6" t="s">
        <v>121</v>
      </c>
      <c r="E1463" s="14" t="s">
        <v>217</v>
      </c>
      <c r="F1463" s="14" t="s">
        <v>50</v>
      </c>
      <c r="G1463" s="57">
        <f>G1464</f>
        <v>0</v>
      </c>
      <c r="H1463" s="116"/>
      <c r="I1463" s="117"/>
      <c r="J1463" s="116"/>
      <c r="K1463" s="80"/>
      <c r="L1463" s="79"/>
      <c r="M1463" s="79"/>
      <c r="AG1463" s="79"/>
      <c r="AH1463" s="79"/>
      <c r="DT1463" s="99">
        <f t="shared" si="25"/>
        <v>0</v>
      </c>
    </row>
    <row r="1464" spans="1:124" ht="98.25" hidden="1" customHeight="1" outlineLevel="1" x14ac:dyDescent="0.3">
      <c r="A1464" s="143" t="s">
        <v>56</v>
      </c>
      <c r="B1464" s="13">
        <v>936</v>
      </c>
      <c r="C1464" s="6">
        <v>10</v>
      </c>
      <c r="D1464" s="6" t="s">
        <v>121</v>
      </c>
      <c r="E1464" s="14" t="s">
        <v>217</v>
      </c>
      <c r="F1464" s="14" t="s">
        <v>57</v>
      </c>
      <c r="G1464" s="57">
        <f>0.7-0.7</f>
        <v>0</v>
      </c>
      <c r="H1464" s="116"/>
      <c r="I1464" s="117"/>
      <c r="J1464" s="116"/>
      <c r="K1464" s="80"/>
      <c r="L1464" s="79"/>
      <c r="M1464" s="79"/>
      <c r="AG1464" s="79"/>
      <c r="AH1464" s="79"/>
      <c r="DT1464" s="99">
        <f t="shared" si="25"/>
        <v>0</v>
      </c>
    </row>
    <row r="1465" spans="1:124" ht="56.25" collapsed="1" x14ac:dyDescent="0.3">
      <c r="A1465" s="156" t="s">
        <v>0</v>
      </c>
      <c r="B1465" s="13">
        <v>936</v>
      </c>
      <c r="C1465" s="6" t="s">
        <v>169</v>
      </c>
      <c r="D1465" s="6" t="s">
        <v>121</v>
      </c>
      <c r="E1465" s="15" t="s">
        <v>92</v>
      </c>
      <c r="F1465" s="14" t="s">
        <v>50</v>
      </c>
      <c r="G1465" s="57">
        <f>G1466+G1480</f>
        <v>17997.5</v>
      </c>
      <c r="H1465" s="116"/>
      <c r="I1465" s="117"/>
      <c r="J1465" s="116"/>
      <c r="K1465" s="80"/>
      <c r="L1465" s="79"/>
      <c r="M1465" s="79"/>
      <c r="AG1465" s="79"/>
      <c r="AH1465" s="79"/>
      <c r="DT1465" s="99">
        <f t="shared" si="25"/>
        <v>0</v>
      </c>
    </row>
    <row r="1466" spans="1:124" ht="63.75" customHeight="1" x14ac:dyDescent="0.3">
      <c r="A1466" s="156" t="s">
        <v>3</v>
      </c>
      <c r="B1466" s="13">
        <v>936</v>
      </c>
      <c r="C1466" s="6" t="s">
        <v>169</v>
      </c>
      <c r="D1466" s="6" t="s">
        <v>121</v>
      </c>
      <c r="E1466" s="15" t="s">
        <v>94</v>
      </c>
      <c r="F1466" s="14" t="s">
        <v>50</v>
      </c>
      <c r="G1466" s="57">
        <f>G1467+G1473+G1476+G1478</f>
        <v>14467.9</v>
      </c>
      <c r="H1466" s="116"/>
      <c r="I1466" s="117"/>
      <c r="J1466" s="116"/>
      <c r="K1466" s="80"/>
      <c r="L1466" s="79"/>
      <c r="M1466" s="79"/>
      <c r="AG1466" s="79"/>
      <c r="AH1466" s="79"/>
      <c r="DT1466" s="99">
        <f t="shared" si="25"/>
        <v>0</v>
      </c>
    </row>
    <row r="1467" spans="1:124" ht="78" hidden="1" customHeight="1" x14ac:dyDescent="0.3">
      <c r="A1467" s="143" t="s">
        <v>173</v>
      </c>
      <c r="B1467" s="13">
        <v>936</v>
      </c>
      <c r="C1467" s="6" t="s">
        <v>169</v>
      </c>
      <c r="D1467" s="6" t="s">
        <v>121</v>
      </c>
      <c r="E1467" s="14" t="s">
        <v>177</v>
      </c>
      <c r="F1467" s="14" t="s">
        <v>50</v>
      </c>
      <c r="G1467" s="57">
        <f>G1468</f>
        <v>72</v>
      </c>
      <c r="H1467" s="116"/>
      <c r="I1467" s="117"/>
      <c r="J1467" s="116"/>
      <c r="K1467" s="80"/>
      <c r="L1467" s="79"/>
      <c r="M1467" s="79"/>
      <c r="AG1467" s="79"/>
      <c r="AH1467" s="79"/>
      <c r="DT1467" s="99">
        <f t="shared" si="25"/>
        <v>0</v>
      </c>
    </row>
    <row r="1468" spans="1:124" ht="179.25" customHeight="1" x14ac:dyDescent="0.3">
      <c r="A1468" s="143" t="s">
        <v>320</v>
      </c>
      <c r="B1468" s="13">
        <v>936</v>
      </c>
      <c r="C1468" s="6" t="s">
        <v>169</v>
      </c>
      <c r="D1468" s="6" t="s">
        <v>121</v>
      </c>
      <c r="E1468" s="113" t="s">
        <v>1186</v>
      </c>
      <c r="F1468" s="14" t="s">
        <v>50</v>
      </c>
      <c r="G1468" s="57">
        <f>G1469+G1471</f>
        <v>72</v>
      </c>
      <c r="H1468" s="116"/>
      <c r="I1468" s="117"/>
      <c r="J1468" s="116"/>
      <c r="K1468" s="80"/>
      <c r="L1468" s="79"/>
      <c r="M1468" s="79"/>
      <c r="AG1468" s="79"/>
      <c r="AH1468" s="79"/>
      <c r="DT1468" s="99">
        <f t="shared" si="25"/>
        <v>0</v>
      </c>
    </row>
    <row r="1469" spans="1:124" ht="37.5" hidden="1" x14ac:dyDescent="0.3">
      <c r="A1469" s="174" t="s">
        <v>321</v>
      </c>
      <c r="B1469" s="13">
        <v>936</v>
      </c>
      <c r="C1469" s="6" t="s">
        <v>169</v>
      </c>
      <c r="D1469" s="6" t="s">
        <v>121</v>
      </c>
      <c r="E1469" s="14" t="s">
        <v>324</v>
      </c>
      <c r="F1469" s="14" t="s">
        <v>50</v>
      </c>
      <c r="G1469" s="57">
        <f>G1470</f>
        <v>0</v>
      </c>
      <c r="H1469" s="116"/>
      <c r="I1469" s="117"/>
      <c r="J1469" s="116"/>
      <c r="K1469" s="80"/>
      <c r="L1469" s="79"/>
      <c r="M1469" s="79"/>
      <c r="AG1469" s="79"/>
      <c r="AH1469" s="79"/>
      <c r="DT1469" s="99">
        <f t="shared" si="25"/>
        <v>0</v>
      </c>
    </row>
    <row r="1470" spans="1:124" ht="37.5" hidden="1" x14ac:dyDescent="0.3">
      <c r="A1470" s="143" t="s">
        <v>425</v>
      </c>
      <c r="B1470" s="13">
        <v>936</v>
      </c>
      <c r="C1470" s="6" t="s">
        <v>169</v>
      </c>
      <c r="D1470" s="6" t="s">
        <v>121</v>
      </c>
      <c r="E1470" s="14" t="s">
        <v>324</v>
      </c>
      <c r="F1470" s="14" t="s">
        <v>59</v>
      </c>
      <c r="G1470" s="57">
        <v>0</v>
      </c>
      <c r="H1470" s="116"/>
      <c r="I1470" s="117"/>
      <c r="J1470" s="116"/>
      <c r="K1470" s="80"/>
      <c r="L1470" s="79"/>
      <c r="M1470" s="79"/>
      <c r="AG1470" s="79"/>
      <c r="AH1470" s="79"/>
      <c r="DT1470" s="99">
        <f t="shared" si="25"/>
        <v>0</v>
      </c>
    </row>
    <row r="1471" spans="1:124" x14ac:dyDescent="0.3">
      <c r="A1471" s="174" t="s">
        <v>322</v>
      </c>
      <c r="B1471" s="13">
        <v>936</v>
      </c>
      <c r="C1471" s="6" t="s">
        <v>169</v>
      </c>
      <c r="D1471" s="6" t="s">
        <v>121</v>
      </c>
      <c r="E1471" s="113" t="s">
        <v>1186</v>
      </c>
      <c r="F1471" s="14" t="s">
        <v>50</v>
      </c>
      <c r="G1471" s="57">
        <f>G1472</f>
        <v>72</v>
      </c>
      <c r="H1471" s="116"/>
      <c r="I1471" s="117"/>
      <c r="J1471" s="116"/>
      <c r="K1471" s="80"/>
      <c r="L1471" s="79"/>
      <c r="M1471" s="79"/>
      <c r="AG1471" s="79"/>
      <c r="AH1471" s="79"/>
      <c r="DT1471" s="99">
        <f t="shared" si="25"/>
        <v>0</v>
      </c>
    </row>
    <row r="1472" spans="1:124" ht="37.5" x14ac:dyDescent="0.3">
      <c r="A1472" s="143" t="s">
        <v>425</v>
      </c>
      <c r="B1472" s="13">
        <v>936</v>
      </c>
      <c r="C1472" s="6" t="s">
        <v>169</v>
      </c>
      <c r="D1472" s="6" t="s">
        <v>121</v>
      </c>
      <c r="E1472" s="113" t="s">
        <v>1186</v>
      </c>
      <c r="F1472" s="14" t="s">
        <v>59</v>
      </c>
      <c r="G1472" s="72">
        <f>DT1472</f>
        <v>72</v>
      </c>
      <c r="H1472" s="116"/>
      <c r="I1472" s="117">
        <v>42.9</v>
      </c>
      <c r="J1472" s="116"/>
      <c r="K1472" s="80"/>
      <c r="L1472" s="79"/>
      <c r="M1472" s="79"/>
      <c r="AG1472" s="79"/>
      <c r="AH1472" s="79"/>
      <c r="AK1472" s="79">
        <v>51</v>
      </c>
      <c r="BK1472" s="226">
        <v>-12.9</v>
      </c>
      <c r="BL1472" s="194">
        <v>0.1</v>
      </c>
      <c r="BO1472" s="238">
        <v>51.5</v>
      </c>
      <c r="CQ1472" s="99">
        <v>57.6</v>
      </c>
      <c r="DN1472" s="274">
        <v>72</v>
      </c>
      <c r="DT1472" s="99">
        <f t="shared" si="25"/>
        <v>72</v>
      </c>
    </row>
    <row r="1473" spans="1:124" ht="117.75" customHeight="1" x14ac:dyDescent="0.3">
      <c r="A1473" s="174" t="s">
        <v>612</v>
      </c>
      <c r="B1473" s="13">
        <v>936</v>
      </c>
      <c r="C1473" s="6" t="s">
        <v>169</v>
      </c>
      <c r="D1473" s="6" t="s">
        <v>121</v>
      </c>
      <c r="E1473" s="113" t="s">
        <v>1162</v>
      </c>
      <c r="F1473" s="36" t="s">
        <v>50</v>
      </c>
      <c r="G1473" s="57">
        <f>G1474</f>
        <v>14395.9</v>
      </c>
      <c r="H1473" s="116"/>
      <c r="I1473" s="117"/>
      <c r="J1473" s="116"/>
      <c r="K1473" s="80"/>
      <c r="L1473" s="79"/>
      <c r="M1473" s="79"/>
      <c r="AG1473" s="79"/>
      <c r="AH1473" s="79"/>
      <c r="DT1473" s="99">
        <f t="shared" si="25"/>
        <v>0</v>
      </c>
    </row>
    <row r="1474" spans="1:124" hidden="1" x14ac:dyDescent="0.3">
      <c r="A1474" s="174" t="s">
        <v>323</v>
      </c>
      <c r="B1474" s="13">
        <v>936</v>
      </c>
      <c r="C1474" s="6" t="s">
        <v>169</v>
      </c>
      <c r="D1474" s="6" t="s">
        <v>121</v>
      </c>
      <c r="E1474" s="36" t="s">
        <v>325</v>
      </c>
      <c r="F1474" s="36" t="s">
        <v>50</v>
      </c>
      <c r="G1474" s="57">
        <f>G1475</f>
        <v>14395.9</v>
      </c>
      <c r="H1474" s="116"/>
      <c r="I1474" s="117"/>
      <c r="J1474" s="116"/>
      <c r="K1474" s="80"/>
      <c r="L1474" s="79"/>
      <c r="M1474" s="79"/>
      <c r="AG1474" s="79"/>
      <c r="AH1474" s="79"/>
      <c r="DT1474" s="99">
        <f t="shared" si="25"/>
        <v>0</v>
      </c>
    </row>
    <row r="1475" spans="1:124" ht="56.25" x14ac:dyDescent="0.3">
      <c r="A1475" s="143" t="s">
        <v>290</v>
      </c>
      <c r="B1475" s="13">
        <v>936</v>
      </c>
      <c r="C1475" s="6" t="s">
        <v>169</v>
      </c>
      <c r="D1475" s="6" t="s">
        <v>121</v>
      </c>
      <c r="E1475" s="113" t="s">
        <v>1162</v>
      </c>
      <c r="F1475" s="14" t="s">
        <v>291</v>
      </c>
      <c r="G1475" s="57">
        <f>DT1475</f>
        <v>14395.9</v>
      </c>
      <c r="H1475" s="116"/>
      <c r="I1475" s="117">
        <v>8580</v>
      </c>
      <c r="J1475" s="116"/>
      <c r="K1475" s="80"/>
      <c r="L1475" s="79"/>
      <c r="M1475" s="79"/>
      <c r="T1475">
        <v>-3919.5</v>
      </c>
      <c r="AG1475" s="79"/>
      <c r="AH1475" s="79"/>
      <c r="AK1475" s="79">
        <v>10190.700000000001</v>
      </c>
      <c r="BK1475" s="226">
        <v>-2573.9</v>
      </c>
      <c r="BL1475" s="194">
        <v>-0.1</v>
      </c>
      <c r="BO1475" s="238">
        <v>10296</v>
      </c>
      <c r="CQ1475" s="99">
        <v>11516.8</v>
      </c>
      <c r="CX1475" s="270">
        <v>-1432.3960300000001</v>
      </c>
      <c r="DN1475" s="274">
        <f>14467.9-72</f>
        <v>14395.9</v>
      </c>
      <c r="DT1475" s="99">
        <f t="shared" si="25"/>
        <v>14395.9</v>
      </c>
    </row>
    <row r="1476" spans="1:124" ht="131.25" hidden="1" x14ac:dyDescent="0.3">
      <c r="A1476" s="174" t="s">
        <v>612</v>
      </c>
      <c r="B1476" s="13">
        <v>936</v>
      </c>
      <c r="C1476" s="6" t="s">
        <v>169</v>
      </c>
      <c r="D1476" s="6" t="s">
        <v>121</v>
      </c>
      <c r="E1476" s="94" t="s">
        <v>613</v>
      </c>
      <c r="F1476" s="36" t="s">
        <v>50</v>
      </c>
      <c r="G1476" s="57">
        <f>G1477</f>
        <v>0</v>
      </c>
      <c r="H1476" s="116"/>
      <c r="I1476" s="117"/>
      <c r="J1476" s="116"/>
      <c r="K1476" s="80"/>
      <c r="L1476" s="79"/>
      <c r="M1476" s="79"/>
      <c r="AG1476" s="79"/>
      <c r="AH1476" s="79"/>
      <c r="DT1476" s="99">
        <f t="shared" si="25"/>
        <v>0</v>
      </c>
    </row>
    <row r="1477" spans="1:124" ht="56.25" hidden="1" x14ac:dyDescent="0.3">
      <c r="A1477" s="143" t="s">
        <v>290</v>
      </c>
      <c r="B1477" s="13">
        <v>936</v>
      </c>
      <c r="C1477" s="6" t="s">
        <v>169</v>
      </c>
      <c r="D1477" s="6" t="s">
        <v>121</v>
      </c>
      <c r="E1477" s="94" t="s">
        <v>613</v>
      </c>
      <c r="F1477" s="14" t="s">
        <v>291</v>
      </c>
      <c r="G1477" s="57">
        <v>0</v>
      </c>
      <c r="H1477" s="116"/>
      <c r="I1477" s="117"/>
      <c r="J1477" s="116"/>
      <c r="K1477" s="80"/>
      <c r="L1477" s="79"/>
      <c r="M1477" s="79"/>
      <c r="T1477">
        <v>3919.5</v>
      </c>
      <c r="AG1477" s="79"/>
      <c r="AH1477" s="79"/>
      <c r="AK1477" s="79">
        <v>0</v>
      </c>
      <c r="DT1477" s="99">
        <f t="shared" si="25"/>
        <v>0</v>
      </c>
    </row>
    <row r="1478" spans="1:124" ht="145.5" hidden="1" customHeight="1" x14ac:dyDescent="0.3">
      <c r="A1478" s="174" t="s">
        <v>612</v>
      </c>
      <c r="B1478" s="13">
        <v>936</v>
      </c>
      <c r="C1478" s="6" t="s">
        <v>169</v>
      </c>
      <c r="D1478" s="6" t="s">
        <v>121</v>
      </c>
      <c r="E1478" s="113" t="s">
        <v>1162</v>
      </c>
      <c r="F1478" s="36" t="s">
        <v>50</v>
      </c>
      <c r="G1478" s="57">
        <f>G1479</f>
        <v>0</v>
      </c>
      <c r="H1478" s="116"/>
      <c r="I1478" s="117"/>
      <c r="J1478" s="116"/>
      <c r="K1478" s="80"/>
      <c r="L1478" s="79"/>
      <c r="M1478" s="79"/>
      <c r="AG1478" s="79"/>
      <c r="AH1478" s="79"/>
      <c r="DT1478" s="99">
        <f t="shared" si="25"/>
        <v>0</v>
      </c>
    </row>
    <row r="1479" spans="1:124" ht="37.5" hidden="1" customHeight="1" x14ac:dyDescent="0.3">
      <c r="A1479" s="174" t="s">
        <v>323</v>
      </c>
      <c r="B1479" s="13">
        <v>936</v>
      </c>
      <c r="C1479" s="6" t="s">
        <v>169</v>
      </c>
      <c r="D1479" s="6" t="s">
        <v>121</v>
      </c>
      <c r="E1479" s="113" t="s">
        <v>1162</v>
      </c>
      <c r="F1479" s="14" t="s">
        <v>291</v>
      </c>
      <c r="G1479" s="57">
        <v>0</v>
      </c>
      <c r="H1479" s="116"/>
      <c r="I1479" s="117"/>
      <c r="J1479" s="116"/>
      <c r="K1479" s="80"/>
      <c r="L1479" s="79"/>
      <c r="M1479" s="79"/>
      <c r="AG1479" s="79"/>
      <c r="AH1479" s="79"/>
      <c r="CX1479" s="270">
        <v>1432.3960300000001</v>
      </c>
      <c r="DT1479" s="99">
        <f t="shared" si="25"/>
        <v>0</v>
      </c>
    </row>
    <row r="1480" spans="1:124" ht="80.25" customHeight="1" x14ac:dyDescent="0.3">
      <c r="A1480" s="143" t="s">
        <v>290</v>
      </c>
      <c r="B1480" s="13">
        <v>936</v>
      </c>
      <c r="C1480" s="6" t="s">
        <v>169</v>
      </c>
      <c r="D1480" s="6" t="s">
        <v>121</v>
      </c>
      <c r="E1480" s="94" t="s">
        <v>450</v>
      </c>
      <c r="F1480" s="14" t="s">
        <v>50</v>
      </c>
      <c r="G1480" s="57">
        <f>G1483+G1481+G1499</f>
        <v>3529.6</v>
      </c>
      <c r="H1480" s="116"/>
      <c r="I1480" s="117"/>
      <c r="J1480" s="116"/>
      <c r="K1480" s="80"/>
      <c r="L1480" s="79"/>
      <c r="M1480" s="79"/>
      <c r="AG1480" s="79"/>
      <c r="AH1480" s="79"/>
      <c r="DT1480" s="99">
        <f t="shared" si="25"/>
        <v>0</v>
      </c>
    </row>
    <row r="1481" spans="1:124" ht="44.25" hidden="1" customHeight="1" x14ac:dyDescent="0.3">
      <c r="A1481" s="235" t="s">
        <v>168</v>
      </c>
      <c r="B1481" s="13">
        <v>936</v>
      </c>
      <c r="C1481" s="6" t="s">
        <v>169</v>
      </c>
      <c r="D1481" s="6" t="s">
        <v>121</v>
      </c>
      <c r="E1481" s="94" t="s">
        <v>791</v>
      </c>
      <c r="F1481" s="14" t="s">
        <v>50</v>
      </c>
      <c r="G1481" s="57">
        <f>G1482</f>
        <v>0</v>
      </c>
      <c r="H1481" s="116"/>
      <c r="I1481" s="117"/>
      <c r="J1481" s="116"/>
      <c r="K1481" s="80"/>
      <c r="L1481" s="79"/>
      <c r="M1481" s="79"/>
      <c r="AG1481" s="79"/>
      <c r="AH1481" s="79"/>
      <c r="DT1481" s="99">
        <f t="shared" si="25"/>
        <v>0</v>
      </c>
    </row>
    <row r="1482" spans="1:124" ht="44.25" hidden="1" customHeight="1" x14ac:dyDescent="0.3">
      <c r="A1482" s="143" t="s">
        <v>425</v>
      </c>
      <c r="B1482" s="13">
        <v>936</v>
      </c>
      <c r="C1482" s="6" t="s">
        <v>169</v>
      </c>
      <c r="D1482" s="6" t="s">
        <v>121</v>
      </c>
      <c r="E1482" s="94" t="s">
        <v>791</v>
      </c>
      <c r="F1482" s="14" t="s">
        <v>59</v>
      </c>
      <c r="G1482" s="57">
        <v>0</v>
      </c>
      <c r="H1482" s="116"/>
      <c r="I1482" s="117"/>
      <c r="J1482" s="116"/>
      <c r="K1482" s="80"/>
      <c r="L1482" s="79"/>
      <c r="M1482" s="79"/>
      <c r="AG1482" s="79"/>
      <c r="AH1482" s="79"/>
      <c r="BH1482" s="233">
        <v>221</v>
      </c>
      <c r="BK1482" s="226">
        <v>68</v>
      </c>
      <c r="BL1482" s="194">
        <v>85</v>
      </c>
      <c r="CB1482" s="226">
        <v>162.19999999999999</v>
      </c>
      <c r="CD1482" s="226">
        <v>-162.19999999999999</v>
      </c>
      <c r="DT1482" s="99">
        <f t="shared" si="25"/>
        <v>0</v>
      </c>
    </row>
    <row r="1483" spans="1:124" ht="37.5" hidden="1" x14ac:dyDescent="0.3">
      <c r="A1483" s="178" t="s">
        <v>68</v>
      </c>
      <c r="B1483" s="13">
        <v>936</v>
      </c>
      <c r="C1483" s="6" t="s">
        <v>169</v>
      </c>
      <c r="D1483" s="6" t="s">
        <v>121</v>
      </c>
      <c r="E1483" s="94" t="s">
        <v>627</v>
      </c>
      <c r="F1483" s="14" t="s">
        <v>50</v>
      </c>
      <c r="G1483" s="57">
        <f>G1486+G1484</f>
        <v>0</v>
      </c>
      <c r="H1483" s="116"/>
      <c r="I1483" s="117"/>
      <c r="J1483" s="116"/>
      <c r="K1483" s="80"/>
      <c r="L1483" s="79"/>
      <c r="M1483" s="79"/>
      <c r="AG1483" s="79"/>
      <c r="AH1483" s="79"/>
      <c r="DT1483" s="99">
        <f t="shared" si="25"/>
        <v>0</v>
      </c>
    </row>
    <row r="1484" spans="1:124" ht="83.25" hidden="1" customHeight="1" x14ac:dyDescent="0.3">
      <c r="A1484" s="232" t="s">
        <v>797</v>
      </c>
      <c r="B1484" s="13">
        <v>936</v>
      </c>
      <c r="C1484" s="6" t="s">
        <v>169</v>
      </c>
      <c r="D1484" s="6" t="s">
        <v>121</v>
      </c>
      <c r="E1484" s="94" t="s">
        <v>798</v>
      </c>
      <c r="F1484" s="14" t="s">
        <v>50</v>
      </c>
      <c r="G1484" s="57">
        <f>G1485</f>
        <v>0</v>
      </c>
      <c r="H1484" s="116"/>
      <c r="I1484" s="117"/>
      <c r="J1484" s="116"/>
      <c r="K1484" s="80"/>
      <c r="L1484" s="79"/>
      <c r="M1484" s="79"/>
      <c r="AG1484" s="79"/>
      <c r="AH1484" s="79"/>
      <c r="DT1484" s="99">
        <f t="shared" si="25"/>
        <v>0</v>
      </c>
    </row>
    <row r="1485" spans="1:124" ht="37.5" hidden="1" x14ac:dyDescent="0.3">
      <c r="A1485" s="143" t="s">
        <v>425</v>
      </c>
      <c r="B1485" s="13">
        <v>936</v>
      </c>
      <c r="C1485" s="6" t="s">
        <v>169</v>
      </c>
      <c r="D1485" s="6" t="s">
        <v>121</v>
      </c>
      <c r="E1485" s="94" t="s">
        <v>798</v>
      </c>
      <c r="F1485" s="14" t="s">
        <v>59</v>
      </c>
      <c r="G1485" s="57">
        <v>0</v>
      </c>
      <c r="H1485" s="116"/>
      <c r="I1485" s="117"/>
      <c r="J1485" s="116"/>
      <c r="K1485" s="80"/>
      <c r="L1485" s="79"/>
      <c r="M1485" s="79"/>
      <c r="AG1485" s="79"/>
      <c r="AH1485" s="79"/>
      <c r="BC1485" s="226">
        <v>150</v>
      </c>
      <c r="BL1485" s="194">
        <f>-150+150</f>
        <v>0</v>
      </c>
      <c r="DT1485" s="99">
        <f t="shared" si="25"/>
        <v>0</v>
      </c>
    </row>
    <row r="1486" spans="1:124" ht="93.75" hidden="1" x14ac:dyDescent="0.3">
      <c r="A1486" s="178" t="s">
        <v>628</v>
      </c>
      <c r="B1486" s="13">
        <v>936</v>
      </c>
      <c r="C1486" s="6" t="s">
        <v>169</v>
      </c>
      <c r="D1486" s="6" t="s">
        <v>121</v>
      </c>
      <c r="E1486" s="94" t="s">
        <v>629</v>
      </c>
      <c r="F1486" s="14" t="s">
        <v>50</v>
      </c>
      <c r="G1486" s="57">
        <f>G1487</f>
        <v>0</v>
      </c>
      <c r="H1486" s="116"/>
      <c r="I1486" s="117"/>
      <c r="J1486" s="116"/>
      <c r="K1486" s="80"/>
      <c r="L1486" s="79"/>
      <c r="M1486" s="79"/>
      <c r="AG1486" s="79"/>
      <c r="AH1486" s="79"/>
      <c r="DT1486" s="99">
        <f t="shared" si="25"/>
        <v>0</v>
      </c>
    </row>
    <row r="1487" spans="1:124" ht="37.5" hidden="1" x14ac:dyDescent="0.3">
      <c r="A1487" s="143" t="s">
        <v>175</v>
      </c>
      <c r="B1487" s="13">
        <v>936</v>
      </c>
      <c r="C1487" s="6" t="s">
        <v>169</v>
      </c>
      <c r="D1487" s="6" t="s">
        <v>121</v>
      </c>
      <c r="E1487" s="94" t="s">
        <v>629</v>
      </c>
      <c r="F1487" s="14" t="s">
        <v>176</v>
      </c>
      <c r="G1487" s="57">
        <v>0</v>
      </c>
      <c r="H1487" s="116"/>
      <c r="I1487" s="117"/>
      <c r="J1487" s="116"/>
      <c r="K1487" s="80"/>
      <c r="L1487" s="79"/>
      <c r="M1487" s="79"/>
      <c r="AG1487" s="79"/>
      <c r="AH1487" s="79"/>
      <c r="AK1487" s="79">
        <v>0</v>
      </c>
      <c r="AP1487" s="151">
        <v>538.5</v>
      </c>
      <c r="DT1487" s="99">
        <f t="shared" si="25"/>
        <v>0</v>
      </c>
    </row>
    <row r="1488" spans="1:124" ht="56.25" hidden="1" x14ac:dyDescent="0.3">
      <c r="A1488" s="175" t="s">
        <v>16</v>
      </c>
      <c r="B1488" s="13">
        <v>936</v>
      </c>
      <c r="C1488" s="6" t="s">
        <v>169</v>
      </c>
      <c r="D1488" s="6" t="s">
        <v>121</v>
      </c>
      <c r="E1488" s="14" t="s">
        <v>32</v>
      </c>
      <c r="F1488" s="14" t="s">
        <v>50</v>
      </c>
      <c r="G1488" s="57">
        <f>G1489+G1495</f>
        <v>0</v>
      </c>
      <c r="H1488" s="116"/>
      <c r="I1488" s="117"/>
      <c r="J1488" s="116"/>
      <c r="K1488" s="80"/>
      <c r="L1488" s="79"/>
      <c r="M1488" s="79"/>
      <c r="AG1488" s="79"/>
      <c r="AH1488" s="79"/>
      <c r="DT1488" s="99">
        <f t="shared" si="25"/>
        <v>0</v>
      </c>
    </row>
    <row r="1489" spans="1:125" ht="48" hidden="1" customHeight="1" x14ac:dyDescent="0.3">
      <c r="A1489" s="162" t="s">
        <v>18</v>
      </c>
      <c r="B1489" s="13">
        <v>936</v>
      </c>
      <c r="C1489" s="6" t="s">
        <v>169</v>
      </c>
      <c r="D1489" s="6" t="s">
        <v>121</v>
      </c>
      <c r="E1489" s="14" t="s">
        <v>34</v>
      </c>
      <c r="F1489" s="14" t="s">
        <v>50</v>
      </c>
      <c r="G1489" s="57">
        <f>G1490+G1493</f>
        <v>0</v>
      </c>
      <c r="H1489" s="116"/>
      <c r="I1489" s="117"/>
      <c r="J1489" s="116"/>
      <c r="K1489" s="80"/>
      <c r="L1489" s="79"/>
      <c r="M1489" s="79"/>
      <c r="AG1489" s="79"/>
      <c r="AH1489" s="79"/>
      <c r="DT1489" s="99">
        <f t="shared" si="25"/>
        <v>0</v>
      </c>
    </row>
    <row r="1490" spans="1:125" ht="75" hidden="1" x14ac:dyDescent="0.3">
      <c r="A1490" s="143" t="s">
        <v>103</v>
      </c>
      <c r="B1490" s="13">
        <v>936</v>
      </c>
      <c r="C1490" s="6" t="s">
        <v>169</v>
      </c>
      <c r="D1490" s="6" t="s">
        <v>121</v>
      </c>
      <c r="E1490" s="14" t="s">
        <v>36</v>
      </c>
      <c r="F1490" s="14" t="s">
        <v>50</v>
      </c>
      <c r="G1490" s="57">
        <f>G1491</f>
        <v>0</v>
      </c>
      <c r="H1490" s="116"/>
      <c r="I1490" s="117"/>
      <c r="J1490" s="116"/>
      <c r="K1490" s="80"/>
      <c r="L1490" s="79"/>
      <c r="M1490" s="79"/>
      <c r="AG1490" s="79"/>
      <c r="AH1490" s="79"/>
      <c r="DT1490" s="99">
        <f t="shared" si="25"/>
        <v>0</v>
      </c>
    </row>
    <row r="1491" spans="1:125" hidden="1" x14ac:dyDescent="0.3">
      <c r="A1491" s="143" t="s">
        <v>104</v>
      </c>
      <c r="B1491" s="13">
        <v>936</v>
      </c>
      <c r="C1491" s="6" t="s">
        <v>169</v>
      </c>
      <c r="D1491" s="6" t="s">
        <v>121</v>
      </c>
      <c r="E1491" s="14" t="s">
        <v>37</v>
      </c>
      <c r="F1491" s="14" t="s">
        <v>50</v>
      </c>
      <c r="G1491" s="57">
        <f>G1492</f>
        <v>0</v>
      </c>
      <c r="H1491" s="116"/>
      <c r="I1491" s="117"/>
      <c r="J1491" s="116"/>
      <c r="K1491" s="80"/>
      <c r="L1491" s="79"/>
      <c r="M1491" s="79"/>
      <c r="AG1491" s="79"/>
      <c r="AH1491" s="79"/>
      <c r="DT1491" s="99">
        <f t="shared" si="25"/>
        <v>0</v>
      </c>
    </row>
    <row r="1492" spans="1:125" ht="93.75" hidden="1" x14ac:dyDescent="0.3">
      <c r="A1492" s="143" t="s">
        <v>56</v>
      </c>
      <c r="B1492" s="13">
        <v>936</v>
      </c>
      <c r="C1492" s="6" t="s">
        <v>169</v>
      </c>
      <c r="D1492" s="6" t="s">
        <v>121</v>
      </c>
      <c r="E1492" s="14" t="s">
        <v>37</v>
      </c>
      <c r="F1492" s="14" t="s">
        <v>57</v>
      </c>
      <c r="G1492" s="57">
        <v>0</v>
      </c>
      <c r="H1492" s="116"/>
      <c r="I1492" s="117"/>
      <c r="J1492" s="116"/>
      <c r="K1492" s="80"/>
      <c r="L1492" s="79"/>
      <c r="M1492" s="79"/>
      <c r="AG1492" s="79"/>
      <c r="AH1492" s="79"/>
      <c r="AK1492" s="79">
        <v>0</v>
      </c>
      <c r="DT1492" s="99">
        <f t="shared" si="25"/>
        <v>0</v>
      </c>
    </row>
    <row r="1493" spans="1:125" ht="37.5" hidden="1" x14ac:dyDescent="0.3">
      <c r="A1493" s="143" t="s">
        <v>180</v>
      </c>
      <c r="B1493" s="13">
        <v>936</v>
      </c>
      <c r="C1493" s="6" t="s">
        <v>169</v>
      </c>
      <c r="D1493" s="6" t="s">
        <v>121</v>
      </c>
      <c r="E1493" s="14" t="s">
        <v>181</v>
      </c>
      <c r="F1493" s="14" t="s">
        <v>50</v>
      </c>
      <c r="G1493" s="57">
        <f>G1494</f>
        <v>0</v>
      </c>
      <c r="H1493" s="116"/>
      <c r="I1493" s="117"/>
      <c r="J1493" s="116"/>
      <c r="K1493" s="80"/>
      <c r="L1493" s="79"/>
      <c r="M1493" s="79"/>
      <c r="AG1493" s="79"/>
      <c r="AH1493" s="79"/>
      <c r="DT1493" s="99">
        <f t="shared" si="25"/>
        <v>0</v>
      </c>
    </row>
    <row r="1494" spans="1:125" ht="93.75" hidden="1" x14ac:dyDescent="0.3">
      <c r="A1494" s="143" t="s">
        <v>56</v>
      </c>
      <c r="B1494" s="13">
        <v>936</v>
      </c>
      <c r="C1494" s="6" t="s">
        <v>169</v>
      </c>
      <c r="D1494" s="6" t="s">
        <v>121</v>
      </c>
      <c r="E1494" s="14" t="s">
        <v>181</v>
      </c>
      <c r="F1494" s="14" t="s">
        <v>57</v>
      </c>
      <c r="G1494" s="57">
        <v>0</v>
      </c>
      <c r="H1494" s="116"/>
      <c r="I1494" s="117"/>
      <c r="J1494" s="116"/>
      <c r="K1494" s="80"/>
      <c r="L1494" s="79"/>
      <c r="M1494" s="79"/>
      <c r="AG1494" s="79"/>
      <c r="AH1494" s="79"/>
      <c r="AK1494" s="79">
        <v>0.3</v>
      </c>
      <c r="DT1494" s="99">
        <f t="shared" ref="DT1494:DT1557" si="26">DN1494+DO1494+DP1494+DQ1494+DR1494+DS1494</f>
        <v>0</v>
      </c>
    </row>
    <row r="1495" spans="1:125" hidden="1" x14ac:dyDescent="0.3">
      <c r="A1495" s="143" t="s">
        <v>409</v>
      </c>
      <c r="B1495" s="13">
        <v>936</v>
      </c>
      <c r="C1495" s="6" t="s">
        <v>169</v>
      </c>
      <c r="D1495" s="6" t="s">
        <v>121</v>
      </c>
      <c r="E1495" s="14" t="s">
        <v>44</v>
      </c>
      <c r="F1495" s="14" t="s">
        <v>50</v>
      </c>
      <c r="G1495" s="57">
        <f>G1496</f>
        <v>0</v>
      </c>
      <c r="H1495" s="116"/>
      <c r="I1495" s="117"/>
      <c r="J1495" s="116"/>
      <c r="K1495" s="80"/>
      <c r="L1495" s="79"/>
      <c r="M1495" s="79"/>
      <c r="AG1495" s="79"/>
      <c r="AH1495" s="79"/>
      <c r="DT1495" s="99">
        <f t="shared" si="26"/>
        <v>0</v>
      </c>
    </row>
    <row r="1496" spans="1:125" ht="37.5" hidden="1" x14ac:dyDescent="0.3">
      <c r="A1496" s="143" t="s">
        <v>52</v>
      </c>
      <c r="B1496" s="13">
        <v>936</v>
      </c>
      <c r="C1496" s="6" t="s">
        <v>169</v>
      </c>
      <c r="D1496" s="6" t="s">
        <v>121</v>
      </c>
      <c r="E1496" s="14" t="s">
        <v>230</v>
      </c>
      <c r="F1496" s="14" t="s">
        <v>50</v>
      </c>
      <c r="G1496" s="57">
        <f>G1497</f>
        <v>0</v>
      </c>
      <c r="H1496" s="116"/>
      <c r="I1496" s="117"/>
      <c r="J1496" s="116"/>
      <c r="K1496" s="80"/>
      <c r="L1496" s="79"/>
      <c r="M1496" s="79"/>
      <c r="AG1496" s="79"/>
      <c r="AH1496" s="79"/>
      <c r="DT1496" s="99">
        <f t="shared" si="26"/>
        <v>0</v>
      </c>
    </row>
    <row r="1497" spans="1:125" ht="37.5" hidden="1" x14ac:dyDescent="0.3">
      <c r="A1497" s="143" t="s">
        <v>229</v>
      </c>
      <c r="B1497" s="13">
        <v>936</v>
      </c>
      <c r="C1497" s="6" t="s">
        <v>169</v>
      </c>
      <c r="D1497" s="6" t="s">
        <v>121</v>
      </c>
      <c r="E1497" s="14" t="s">
        <v>231</v>
      </c>
      <c r="F1497" s="14" t="s">
        <v>50</v>
      </c>
      <c r="G1497" s="57">
        <f>G1498</f>
        <v>0</v>
      </c>
      <c r="H1497" s="116"/>
      <c r="I1497" s="117"/>
      <c r="J1497" s="116"/>
      <c r="K1497" s="80"/>
      <c r="L1497" s="79"/>
      <c r="M1497" s="79"/>
      <c r="AG1497" s="79"/>
      <c r="AH1497" s="79"/>
      <c r="DT1497" s="99">
        <f t="shared" si="26"/>
        <v>0</v>
      </c>
    </row>
    <row r="1498" spans="1:125" ht="37.5" hidden="1" customHeight="1" x14ac:dyDescent="0.3">
      <c r="A1498" s="143" t="s">
        <v>56</v>
      </c>
      <c r="B1498" s="13">
        <v>936</v>
      </c>
      <c r="C1498" s="6" t="s">
        <v>169</v>
      </c>
      <c r="D1498" s="6" t="s">
        <v>121</v>
      </c>
      <c r="E1498" s="14" t="s">
        <v>231</v>
      </c>
      <c r="F1498" s="14" t="s">
        <v>57</v>
      </c>
      <c r="G1498" s="57">
        <v>0</v>
      </c>
      <c r="H1498" s="116"/>
      <c r="I1498" s="117"/>
      <c r="J1498" s="116"/>
      <c r="K1498" s="80"/>
      <c r="L1498" s="79"/>
      <c r="M1498" s="79"/>
      <c r="AG1498" s="79"/>
      <c r="AH1498" s="79"/>
      <c r="DT1498" s="99">
        <f t="shared" si="26"/>
        <v>0</v>
      </c>
    </row>
    <row r="1499" spans="1:125" ht="47.25" customHeight="1" x14ac:dyDescent="0.3">
      <c r="A1499" s="240" t="s">
        <v>801</v>
      </c>
      <c r="B1499" s="13">
        <v>936</v>
      </c>
      <c r="C1499" s="6" t="s">
        <v>169</v>
      </c>
      <c r="D1499" s="6" t="s">
        <v>121</v>
      </c>
      <c r="E1499" s="113" t="s">
        <v>1173</v>
      </c>
      <c r="F1499" s="14" t="s">
        <v>50</v>
      </c>
      <c r="G1499" s="57">
        <f>G1500</f>
        <v>3529.6</v>
      </c>
      <c r="H1499" s="116"/>
      <c r="I1499" s="117"/>
      <c r="J1499" s="116"/>
      <c r="K1499" s="80"/>
      <c r="L1499" s="79"/>
      <c r="M1499" s="79"/>
      <c r="AG1499" s="79"/>
      <c r="AH1499" s="79"/>
      <c r="DT1499" s="99">
        <f t="shared" si="26"/>
        <v>0</v>
      </c>
    </row>
    <row r="1500" spans="1:125" ht="37.5" x14ac:dyDescent="0.3">
      <c r="A1500" s="143" t="s">
        <v>175</v>
      </c>
      <c r="B1500" s="13">
        <v>936</v>
      </c>
      <c r="C1500" s="6" t="s">
        <v>169</v>
      </c>
      <c r="D1500" s="6" t="s">
        <v>121</v>
      </c>
      <c r="E1500" s="113" t="s">
        <v>1173</v>
      </c>
      <c r="F1500" s="14" t="s">
        <v>176</v>
      </c>
      <c r="G1500" s="57">
        <f>DT1500+DU1500</f>
        <v>3529.6</v>
      </c>
      <c r="H1500" s="116"/>
      <c r="I1500" s="117"/>
      <c r="J1500" s="116"/>
      <c r="K1500" s="80"/>
      <c r="L1500" s="79"/>
      <c r="M1500" s="79"/>
      <c r="AG1500" s="79"/>
      <c r="AH1500" s="79"/>
      <c r="BO1500" s="238">
        <v>610.95000000000005</v>
      </c>
      <c r="BP1500" s="239">
        <v>180.6</v>
      </c>
      <c r="BT1500" s="151">
        <v>111.33</v>
      </c>
      <c r="CI1500" s="194">
        <v>-144.44999999999999</v>
      </c>
      <c r="CQ1500" s="99">
        <f>2433.21+609</f>
        <v>3042.21</v>
      </c>
      <c r="DB1500" s="194">
        <v>-14.03</v>
      </c>
      <c r="DN1500" s="274">
        <f>2824+706</f>
        <v>3530</v>
      </c>
      <c r="DT1500" s="99">
        <f t="shared" si="26"/>
        <v>3530</v>
      </c>
      <c r="DU1500" s="270">
        <v>-0.4</v>
      </c>
    </row>
    <row r="1501" spans="1:125" ht="25.5" customHeight="1" x14ac:dyDescent="0.3">
      <c r="A1501" s="155" t="s">
        <v>326</v>
      </c>
      <c r="B1501" s="12">
        <v>936</v>
      </c>
      <c r="C1501" s="19" t="s">
        <v>169</v>
      </c>
      <c r="D1501" s="19" t="s">
        <v>119</v>
      </c>
      <c r="E1501" s="12" t="s">
        <v>49</v>
      </c>
      <c r="F1501" s="9" t="s">
        <v>50</v>
      </c>
      <c r="G1501" s="68">
        <f>G1502</f>
        <v>464</v>
      </c>
      <c r="H1501" s="116"/>
      <c r="I1501" s="117"/>
      <c r="J1501" s="116"/>
      <c r="K1501" s="80"/>
      <c r="L1501" s="79"/>
      <c r="M1501" s="79"/>
      <c r="AG1501" s="79"/>
      <c r="AH1501" s="79"/>
      <c r="DT1501" s="99">
        <f t="shared" si="26"/>
        <v>0</v>
      </c>
    </row>
    <row r="1502" spans="1:125" ht="56.25" x14ac:dyDescent="0.3">
      <c r="A1502" s="156" t="s">
        <v>0</v>
      </c>
      <c r="B1502" s="13">
        <v>936</v>
      </c>
      <c r="C1502" s="6" t="s">
        <v>169</v>
      </c>
      <c r="D1502" s="6" t="s">
        <v>119</v>
      </c>
      <c r="E1502" s="14" t="s">
        <v>92</v>
      </c>
      <c r="F1502" s="14" t="s">
        <v>50</v>
      </c>
      <c r="G1502" s="57">
        <f>G1503</f>
        <v>464</v>
      </c>
      <c r="H1502" s="116"/>
      <c r="I1502" s="117"/>
      <c r="J1502" s="116"/>
      <c r="K1502" s="80"/>
      <c r="L1502" s="79"/>
      <c r="M1502" s="79"/>
      <c r="AG1502" s="79"/>
      <c r="AH1502" s="79"/>
      <c r="DT1502" s="99">
        <f t="shared" si="26"/>
        <v>0</v>
      </c>
    </row>
    <row r="1503" spans="1:125" ht="75" x14ac:dyDescent="0.3">
      <c r="A1503" s="156" t="s">
        <v>2</v>
      </c>
      <c r="B1503" s="13">
        <v>936</v>
      </c>
      <c r="C1503" s="6" t="s">
        <v>169</v>
      </c>
      <c r="D1503" s="6" t="s">
        <v>119</v>
      </c>
      <c r="E1503" s="14" t="s">
        <v>26</v>
      </c>
      <c r="F1503" s="14" t="s">
        <v>50</v>
      </c>
      <c r="G1503" s="57">
        <f>G1504</f>
        <v>464</v>
      </c>
      <c r="H1503" s="116"/>
      <c r="I1503" s="117"/>
      <c r="J1503" s="116"/>
      <c r="K1503" s="80"/>
      <c r="L1503" s="79"/>
      <c r="M1503" s="79"/>
      <c r="AG1503" s="79"/>
      <c r="AH1503" s="79"/>
      <c r="DT1503" s="99">
        <f t="shared" si="26"/>
        <v>0</v>
      </c>
    </row>
    <row r="1504" spans="1:125" x14ac:dyDescent="0.3">
      <c r="A1504" s="143" t="s">
        <v>62</v>
      </c>
      <c r="B1504" s="13">
        <v>936</v>
      </c>
      <c r="C1504" s="6" t="s">
        <v>169</v>
      </c>
      <c r="D1504" s="6" t="s">
        <v>119</v>
      </c>
      <c r="E1504" s="14" t="s">
        <v>287</v>
      </c>
      <c r="F1504" s="14" t="s">
        <v>50</v>
      </c>
      <c r="G1504" s="57">
        <f>G1505</f>
        <v>464</v>
      </c>
      <c r="H1504" s="116"/>
      <c r="I1504" s="117"/>
      <c r="J1504" s="116"/>
      <c r="K1504" s="80"/>
      <c r="L1504" s="79"/>
      <c r="M1504" s="79"/>
      <c r="AG1504" s="79"/>
      <c r="AH1504" s="79"/>
      <c r="DT1504" s="99">
        <f t="shared" si="26"/>
        <v>0</v>
      </c>
    </row>
    <row r="1505" spans="1:124" ht="37.5" x14ac:dyDescent="0.3">
      <c r="A1505" s="143" t="s">
        <v>327</v>
      </c>
      <c r="B1505" s="13">
        <v>936</v>
      </c>
      <c r="C1505" s="6" t="s">
        <v>169</v>
      </c>
      <c r="D1505" s="6" t="s">
        <v>119</v>
      </c>
      <c r="E1505" s="14" t="s">
        <v>328</v>
      </c>
      <c r="F1505" s="14" t="s">
        <v>50</v>
      </c>
      <c r="G1505" s="57">
        <f>G1506</f>
        <v>464</v>
      </c>
      <c r="H1505" s="116"/>
      <c r="I1505" s="117"/>
      <c r="J1505" s="116"/>
      <c r="K1505" s="80"/>
      <c r="L1505" s="79"/>
      <c r="M1505" s="79"/>
      <c r="AG1505" s="79"/>
      <c r="AH1505" s="79"/>
      <c r="DT1505" s="99">
        <f t="shared" si="26"/>
        <v>0</v>
      </c>
    </row>
    <row r="1506" spans="1:124" ht="40.5" customHeight="1" x14ac:dyDescent="0.3">
      <c r="A1506" s="143" t="s">
        <v>264</v>
      </c>
      <c r="B1506" s="13">
        <v>936</v>
      </c>
      <c r="C1506" s="6" t="s">
        <v>169</v>
      </c>
      <c r="D1506" s="6" t="s">
        <v>119</v>
      </c>
      <c r="E1506" s="14" t="s">
        <v>328</v>
      </c>
      <c r="F1506" s="14" t="s">
        <v>261</v>
      </c>
      <c r="G1506" s="57">
        <f>DT1506</f>
        <v>464</v>
      </c>
      <c r="H1506" s="125">
        <v>330</v>
      </c>
      <c r="I1506" s="126"/>
      <c r="J1506" s="125"/>
      <c r="K1506" s="80"/>
      <c r="L1506" s="79"/>
      <c r="M1506" s="79"/>
      <c r="AG1506" s="79"/>
      <c r="AH1506" s="79"/>
      <c r="AK1506" s="79">
        <v>587.70000000000005</v>
      </c>
      <c r="AZ1506" s="226">
        <v>330</v>
      </c>
      <c r="BN1506" s="237">
        <v>396</v>
      </c>
      <c r="CH1506" s="258">
        <v>396</v>
      </c>
      <c r="CR1506" s="99">
        <v>464</v>
      </c>
      <c r="CV1506" s="268">
        <v>102</v>
      </c>
      <c r="DC1506" s="194">
        <v>464</v>
      </c>
      <c r="DS1506" s="99">
        <v>464</v>
      </c>
      <c r="DT1506" s="99">
        <f t="shared" si="26"/>
        <v>464</v>
      </c>
    </row>
    <row r="1507" spans="1:124" x14ac:dyDescent="0.3">
      <c r="A1507" s="210" t="s">
        <v>329</v>
      </c>
      <c r="B1507" s="12">
        <v>936</v>
      </c>
      <c r="C1507" s="22">
        <v>11</v>
      </c>
      <c r="D1507" s="9" t="s">
        <v>112</v>
      </c>
      <c r="E1507" s="22" t="s">
        <v>49</v>
      </c>
      <c r="F1507" s="9" t="s">
        <v>50</v>
      </c>
      <c r="G1507" s="68">
        <f>G1508+G1534</f>
        <v>124898.3</v>
      </c>
      <c r="H1507" s="116"/>
      <c r="I1507" s="117"/>
      <c r="J1507" s="116"/>
      <c r="K1507" s="80"/>
      <c r="L1507" s="79"/>
      <c r="M1507" s="79"/>
      <c r="AG1507" s="79"/>
      <c r="AH1507" s="79"/>
      <c r="DT1507" s="99">
        <f t="shared" si="26"/>
        <v>0</v>
      </c>
    </row>
    <row r="1508" spans="1:124" hidden="1" x14ac:dyDescent="0.3">
      <c r="A1508" s="210" t="s">
        <v>330</v>
      </c>
      <c r="B1508" s="22">
        <v>936</v>
      </c>
      <c r="C1508" s="22">
        <v>11</v>
      </c>
      <c r="D1508" s="9" t="s">
        <v>116</v>
      </c>
      <c r="E1508" s="22" t="s">
        <v>49</v>
      </c>
      <c r="F1508" s="9" t="s">
        <v>50</v>
      </c>
      <c r="G1508" s="68">
        <f>G1509</f>
        <v>0</v>
      </c>
      <c r="H1508" s="116"/>
      <c r="I1508" s="117"/>
      <c r="J1508" s="116"/>
      <c r="K1508" s="80"/>
      <c r="L1508" s="79"/>
      <c r="M1508" s="79"/>
      <c r="AG1508" s="79"/>
      <c r="AH1508" s="79"/>
      <c r="DT1508" s="99">
        <f t="shared" si="26"/>
        <v>0</v>
      </c>
    </row>
    <row r="1509" spans="1:124" ht="56.25" hidden="1" x14ac:dyDescent="0.3">
      <c r="A1509" s="156" t="s">
        <v>159</v>
      </c>
      <c r="B1509" s="23">
        <v>936</v>
      </c>
      <c r="C1509" s="6" t="s">
        <v>183</v>
      </c>
      <c r="D1509" s="6" t="s">
        <v>116</v>
      </c>
      <c r="E1509" s="14" t="s">
        <v>91</v>
      </c>
      <c r="F1509" s="14" t="s">
        <v>50</v>
      </c>
      <c r="G1509" s="57">
        <f>G1528+G1530</f>
        <v>0</v>
      </c>
      <c r="H1509" s="116"/>
      <c r="I1509" s="117"/>
      <c r="J1509" s="116"/>
      <c r="K1509" s="80"/>
      <c r="L1509" s="79"/>
      <c r="M1509" s="79"/>
      <c r="AG1509" s="79"/>
      <c r="AH1509" s="79"/>
      <c r="DT1509" s="99">
        <f t="shared" si="26"/>
        <v>0</v>
      </c>
    </row>
    <row r="1510" spans="1:124" ht="24.75" hidden="1" customHeight="1" x14ac:dyDescent="0.3">
      <c r="A1510" s="143" t="s">
        <v>62</v>
      </c>
      <c r="B1510" s="23">
        <v>936</v>
      </c>
      <c r="C1510" s="6" t="s">
        <v>183</v>
      </c>
      <c r="D1510" s="6" t="s">
        <v>116</v>
      </c>
      <c r="E1510" s="14" t="s">
        <v>332</v>
      </c>
      <c r="F1510" s="14" t="s">
        <v>50</v>
      </c>
      <c r="G1510" s="57">
        <f>G1511</f>
        <v>0</v>
      </c>
      <c r="H1510" s="116"/>
      <c r="I1510" s="117"/>
      <c r="J1510" s="116"/>
      <c r="K1510" s="80"/>
      <c r="L1510" s="79"/>
      <c r="M1510" s="79"/>
      <c r="AG1510" s="79"/>
      <c r="AH1510" s="79"/>
      <c r="DT1510" s="99">
        <f t="shared" si="26"/>
        <v>0</v>
      </c>
    </row>
    <row r="1511" spans="1:124" ht="38.25" hidden="1" customHeight="1" x14ac:dyDescent="0.3">
      <c r="A1511" s="143" t="s">
        <v>331</v>
      </c>
      <c r="B1511" s="23">
        <v>936</v>
      </c>
      <c r="C1511" s="6" t="s">
        <v>183</v>
      </c>
      <c r="D1511" s="6" t="s">
        <v>116</v>
      </c>
      <c r="E1511" s="14" t="s">
        <v>333</v>
      </c>
      <c r="F1511" s="14" t="s">
        <v>50</v>
      </c>
      <c r="G1511" s="57">
        <f>G1512+G1513+G1514</f>
        <v>0</v>
      </c>
      <c r="H1511" s="116"/>
      <c r="I1511" s="117"/>
      <c r="J1511" s="116"/>
      <c r="K1511" s="80"/>
      <c r="L1511" s="79"/>
      <c r="M1511" s="79"/>
      <c r="AG1511" s="79"/>
      <c r="AH1511" s="79"/>
      <c r="DT1511" s="99">
        <f t="shared" si="26"/>
        <v>0</v>
      </c>
    </row>
    <row r="1512" spans="1:124" ht="93.75" hidden="1" outlineLevel="1" x14ac:dyDescent="0.3">
      <c r="A1512" s="143" t="s">
        <v>56</v>
      </c>
      <c r="B1512" s="23">
        <v>936</v>
      </c>
      <c r="C1512" s="6" t="s">
        <v>183</v>
      </c>
      <c r="D1512" s="6" t="s">
        <v>116</v>
      </c>
      <c r="E1512" s="14" t="s">
        <v>333</v>
      </c>
      <c r="F1512" s="14" t="s">
        <v>57</v>
      </c>
      <c r="G1512" s="57">
        <v>0</v>
      </c>
      <c r="H1512" s="116"/>
      <c r="I1512" s="117"/>
      <c r="J1512" s="116"/>
      <c r="K1512" s="80"/>
      <c r="L1512" s="79"/>
      <c r="M1512" s="79"/>
      <c r="AE1512">
        <v>1.5</v>
      </c>
      <c r="AG1512" s="79"/>
      <c r="AH1512" s="79"/>
      <c r="AK1512" s="79">
        <v>0</v>
      </c>
      <c r="DT1512" s="99">
        <f t="shared" si="26"/>
        <v>0</v>
      </c>
    </row>
    <row r="1513" spans="1:124" ht="37.5" hidden="1" x14ac:dyDescent="0.3">
      <c r="A1513" s="143" t="s">
        <v>425</v>
      </c>
      <c r="B1513" s="23">
        <v>936</v>
      </c>
      <c r="C1513" s="6" t="s">
        <v>183</v>
      </c>
      <c r="D1513" s="6" t="s">
        <v>116</v>
      </c>
      <c r="E1513" s="14" t="s">
        <v>333</v>
      </c>
      <c r="F1513" s="14" t="s">
        <v>59</v>
      </c>
      <c r="G1513" s="72">
        <v>0</v>
      </c>
      <c r="H1513" s="116"/>
      <c r="I1513" s="117"/>
      <c r="J1513" s="116"/>
      <c r="K1513" s="80"/>
      <c r="L1513" s="79"/>
      <c r="M1513" s="79"/>
      <c r="AG1513" s="79"/>
      <c r="AH1513" s="79"/>
      <c r="DT1513" s="99">
        <f t="shared" si="26"/>
        <v>0</v>
      </c>
    </row>
    <row r="1514" spans="1:124" ht="45" hidden="1" customHeight="1" x14ac:dyDescent="0.3">
      <c r="A1514" s="143" t="s">
        <v>264</v>
      </c>
      <c r="B1514" s="23">
        <v>936</v>
      </c>
      <c r="C1514" s="6" t="s">
        <v>183</v>
      </c>
      <c r="D1514" s="6" t="s">
        <v>116</v>
      </c>
      <c r="E1514" s="14" t="s">
        <v>333</v>
      </c>
      <c r="F1514" s="14" t="s">
        <v>261</v>
      </c>
      <c r="G1514" s="57">
        <v>0</v>
      </c>
      <c r="H1514" s="135"/>
      <c r="I1514" s="136"/>
      <c r="J1514" s="135"/>
      <c r="K1514" s="80"/>
      <c r="L1514" s="79"/>
      <c r="M1514" s="79"/>
      <c r="AG1514" s="79"/>
      <c r="AH1514" s="79"/>
      <c r="DT1514" s="99">
        <f t="shared" si="26"/>
        <v>0</v>
      </c>
    </row>
    <row r="1515" spans="1:124" ht="48" hidden="1" customHeight="1" x14ac:dyDescent="0.3">
      <c r="A1515" s="156" t="s">
        <v>161</v>
      </c>
      <c r="B1515" s="23">
        <v>936</v>
      </c>
      <c r="C1515" s="14" t="s">
        <v>183</v>
      </c>
      <c r="D1515" s="6" t="s">
        <v>116</v>
      </c>
      <c r="E1515" s="14" t="s">
        <v>99</v>
      </c>
      <c r="F1515" s="14" t="s">
        <v>50</v>
      </c>
      <c r="G1515" s="57">
        <f>G1516</f>
        <v>0</v>
      </c>
      <c r="H1515" s="116"/>
      <c r="I1515" s="117"/>
      <c r="J1515" s="116"/>
      <c r="K1515" s="80"/>
      <c r="L1515" s="79"/>
      <c r="M1515" s="79"/>
      <c r="AG1515" s="79"/>
      <c r="AH1515" s="79"/>
      <c r="DT1515" s="99">
        <f t="shared" si="26"/>
        <v>0</v>
      </c>
    </row>
    <row r="1516" spans="1:124" ht="56.25" hidden="1" x14ac:dyDescent="0.3">
      <c r="A1516" s="156" t="s">
        <v>11</v>
      </c>
      <c r="B1516" s="13">
        <v>936</v>
      </c>
      <c r="C1516" s="14" t="s">
        <v>183</v>
      </c>
      <c r="D1516" s="6" t="s">
        <v>116</v>
      </c>
      <c r="E1516" s="14" t="s">
        <v>29</v>
      </c>
      <c r="F1516" s="14" t="s">
        <v>50</v>
      </c>
      <c r="G1516" s="57">
        <f>G1517</f>
        <v>0</v>
      </c>
      <c r="H1516" s="116"/>
      <c r="I1516" s="117"/>
      <c r="J1516" s="116"/>
      <c r="K1516" s="80"/>
      <c r="L1516" s="79"/>
      <c r="M1516" s="79"/>
      <c r="AG1516" s="79"/>
      <c r="AH1516" s="79"/>
      <c r="DT1516" s="99">
        <f t="shared" si="26"/>
        <v>0</v>
      </c>
    </row>
    <row r="1517" spans="1:124" ht="75" hidden="1" x14ac:dyDescent="0.3">
      <c r="A1517" s="143" t="s">
        <v>249</v>
      </c>
      <c r="B1517" s="13">
        <v>936</v>
      </c>
      <c r="C1517" s="14" t="s">
        <v>183</v>
      </c>
      <c r="D1517" s="6" t="s">
        <v>116</v>
      </c>
      <c r="E1517" s="14" t="s">
        <v>254</v>
      </c>
      <c r="F1517" s="14" t="s">
        <v>50</v>
      </c>
      <c r="G1517" s="57">
        <f>G1518</f>
        <v>0</v>
      </c>
      <c r="H1517" s="116"/>
      <c r="I1517" s="117"/>
      <c r="J1517" s="116"/>
      <c r="K1517" s="80"/>
      <c r="L1517" s="79"/>
      <c r="M1517" s="79"/>
      <c r="AG1517" s="79"/>
      <c r="AH1517" s="79"/>
      <c r="DT1517" s="99">
        <f t="shared" si="26"/>
        <v>0</v>
      </c>
    </row>
    <row r="1518" spans="1:124" ht="56.25" hidden="1" x14ac:dyDescent="0.3">
      <c r="A1518" s="143" t="s">
        <v>253</v>
      </c>
      <c r="B1518" s="13">
        <v>936</v>
      </c>
      <c r="C1518" s="14" t="s">
        <v>183</v>
      </c>
      <c r="D1518" s="6" t="s">
        <v>116</v>
      </c>
      <c r="E1518" s="14" t="s">
        <v>255</v>
      </c>
      <c r="F1518" s="14" t="s">
        <v>50</v>
      </c>
      <c r="G1518" s="57">
        <f>G1519</f>
        <v>0</v>
      </c>
      <c r="H1518" s="116"/>
      <c r="I1518" s="117"/>
      <c r="J1518" s="116"/>
      <c r="K1518" s="80"/>
      <c r="L1518" s="79"/>
      <c r="M1518" s="79"/>
      <c r="AG1518" s="79"/>
      <c r="AH1518" s="79"/>
      <c r="DT1518" s="99">
        <f t="shared" si="26"/>
        <v>0</v>
      </c>
    </row>
    <row r="1519" spans="1:124" ht="39.75" hidden="1" customHeight="1" x14ac:dyDescent="0.3">
      <c r="A1519" s="143" t="s">
        <v>264</v>
      </c>
      <c r="B1519" s="13">
        <v>936</v>
      </c>
      <c r="C1519" s="14" t="s">
        <v>183</v>
      </c>
      <c r="D1519" s="6" t="s">
        <v>116</v>
      </c>
      <c r="E1519" s="14" t="s">
        <v>255</v>
      </c>
      <c r="F1519" s="14" t="s">
        <v>261</v>
      </c>
      <c r="G1519" s="57">
        <v>0</v>
      </c>
      <c r="H1519" s="116"/>
      <c r="I1519" s="117"/>
      <c r="J1519" s="116"/>
      <c r="K1519" s="80"/>
      <c r="L1519" s="79"/>
      <c r="M1519" s="79"/>
      <c r="AG1519" s="79"/>
      <c r="AH1519" s="79"/>
      <c r="DT1519" s="99">
        <f t="shared" si="26"/>
        <v>0</v>
      </c>
    </row>
    <row r="1520" spans="1:124" ht="31.5" hidden="1" customHeight="1" x14ac:dyDescent="0.3">
      <c r="A1520" s="175" t="s">
        <v>409</v>
      </c>
      <c r="B1520" s="23">
        <v>936</v>
      </c>
      <c r="C1520" s="6" t="s">
        <v>183</v>
      </c>
      <c r="D1520" s="6" t="s">
        <v>116</v>
      </c>
      <c r="E1520" s="14" t="s">
        <v>704</v>
      </c>
      <c r="F1520" s="14" t="s">
        <v>50</v>
      </c>
      <c r="G1520" s="57">
        <f>G1524+G1526+G1521</f>
        <v>0</v>
      </c>
      <c r="H1520" s="116"/>
      <c r="I1520" s="117"/>
      <c r="J1520" s="116"/>
      <c r="K1520" s="80"/>
      <c r="L1520" s="79"/>
      <c r="M1520" s="79"/>
      <c r="AG1520" s="79"/>
      <c r="AH1520" s="79"/>
      <c r="DT1520" s="99">
        <f t="shared" si="26"/>
        <v>0</v>
      </c>
    </row>
    <row r="1521" spans="1:124" ht="31.5" hidden="1" customHeight="1" x14ac:dyDescent="0.3">
      <c r="A1521" s="143" t="s">
        <v>62</v>
      </c>
      <c r="B1521" s="23">
        <v>936</v>
      </c>
      <c r="C1521" s="6" t="s">
        <v>183</v>
      </c>
      <c r="D1521" s="6" t="s">
        <v>116</v>
      </c>
      <c r="E1521" s="15" t="s">
        <v>749</v>
      </c>
      <c r="F1521" s="14" t="s">
        <v>50</v>
      </c>
      <c r="G1521" s="57">
        <f>G1522</f>
        <v>0</v>
      </c>
      <c r="H1521" s="116"/>
      <c r="I1521" s="117"/>
      <c r="J1521" s="116"/>
      <c r="K1521" s="80"/>
      <c r="L1521" s="79"/>
      <c r="M1521" s="79"/>
      <c r="AG1521" s="79"/>
      <c r="AH1521" s="79"/>
      <c r="DT1521" s="99">
        <f t="shared" si="26"/>
        <v>0</v>
      </c>
    </row>
    <row r="1522" spans="1:124" ht="31.5" hidden="1" customHeight="1" x14ac:dyDescent="0.3">
      <c r="A1522" s="143" t="s">
        <v>289</v>
      </c>
      <c r="B1522" s="23">
        <v>936</v>
      </c>
      <c r="C1522" s="6" t="s">
        <v>183</v>
      </c>
      <c r="D1522" s="6" t="s">
        <v>116</v>
      </c>
      <c r="E1522" s="15" t="s">
        <v>748</v>
      </c>
      <c r="F1522" s="14" t="s">
        <v>50</v>
      </c>
      <c r="G1522" s="57">
        <f>G1523</f>
        <v>0</v>
      </c>
      <c r="H1522" s="116"/>
      <c r="I1522" s="117"/>
      <c r="J1522" s="116"/>
      <c r="K1522" s="80"/>
      <c r="L1522" s="79"/>
      <c r="M1522" s="79"/>
      <c r="AG1522" s="79"/>
      <c r="AH1522" s="79"/>
      <c r="DT1522" s="99">
        <f t="shared" si="26"/>
        <v>0</v>
      </c>
    </row>
    <row r="1523" spans="1:124" ht="48.75" hidden="1" customHeight="1" x14ac:dyDescent="0.3">
      <c r="A1523" s="143" t="s">
        <v>264</v>
      </c>
      <c r="B1523" s="23">
        <v>936</v>
      </c>
      <c r="C1523" s="6" t="s">
        <v>183</v>
      </c>
      <c r="D1523" s="6" t="s">
        <v>116</v>
      </c>
      <c r="E1523" s="15" t="s">
        <v>748</v>
      </c>
      <c r="F1523" s="14" t="s">
        <v>261</v>
      </c>
      <c r="G1523" s="57">
        <f>3500+BC1523+BB1523</f>
        <v>0</v>
      </c>
      <c r="H1523" s="116"/>
      <c r="I1523" s="117"/>
      <c r="J1523" s="116"/>
      <c r="K1523" s="80"/>
      <c r="L1523" s="79"/>
      <c r="M1523" s="79"/>
      <c r="AG1523" s="79"/>
      <c r="AH1523" s="79"/>
      <c r="AU1523">
        <v>3500</v>
      </c>
      <c r="BB1523" s="194">
        <v>-3500</v>
      </c>
      <c r="DT1523" s="99">
        <f t="shared" si="26"/>
        <v>0</v>
      </c>
    </row>
    <row r="1524" spans="1:124" ht="62.25" hidden="1" customHeight="1" x14ac:dyDescent="0.3">
      <c r="A1524" s="156" t="s">
        <v>705</v>
      </c>
      <c r="B1524" s="23">
        <v>936</v>
      </c>
      <c r="C1524" s="6" t="s">
        <v>183</v>
      </c>
      <c r="D1524" s="6" t="s">
        <v>116</v>
      </c>
      <c r="E1524" s="14" t="s">
        <v>772</v>
      </c>
      <c r="F1524" s="14" t="s">
        <v>50</v>
      </c>
      <c r="G1524" s="57">
        <f>G1525</f>
        <v>0</v>
      </c>
      <c r="H1524" s="116"/>
      <c r="I1524" s="117"/>
      <c r="J1524" s="116"/>
      <c r="K1524" s="80"/>
      <c r="L1524" s="79"/>
      <c r="M1524" s="79"/>
      <c r="AG1524" s="79"/>
      <c r="AH1524" s="79"/>
      <c r="DT1524" s="99">
        <f t="shared" si="26"/>
        <v>0</v>
      </c>
    </row>
    <row r="1525" spans="1:124" ht="51" hidden="1" customHeight="1" x14ac:dyDescent="0.3">
      <c r="A1525" s="143" t="s">
        <v>264</v>
      </c>
      <c r="B1525" s="23">
        <v>936</v>
      </c>
      <c r="C1525" s="6" t="s">
        <v>183</v>
      </c>
      <c r="D1525" s="6" t="s">
        <v>116</v>
      </c>
      <c r="E1525" s="14" t="s">
        <v>772</v>
      </c>
      <c r="F1525" s="14" t="s">
        <v>261</v>
      </c>
      <c r="G1525" s="57">
        <v>0</v>
      </c>
      <c r="H1525" s="116"/>
      <c r="I1525" s="117"/>
      <c r="J1525" s="116"/>
      <c r="K1525" s="80"/>
      <c r="L1525" s="79"/>
      <c r="M1525" s="79"/>
      <c r="AG1525" s="79"/>
      <c r="AH1525" s="79"/>
      <c r="AP1525" s="151">
        <v>49860.4</v>
      </c>
      <c r="DT1525" s="99">
        <f t="shared" si="26"/>
        <v>0</v>
      </c>
    </row>
    <row r="1526" spans="1:124" ht="66" hidden="1" customHeight="1" x14ac:dyDescent="0.3">
      <c r="A1526" s="156" t="s">
        <v>705</v>
      </c>
      <c r="B1526" s="23">
        <v>936</v>
      </c>
      <c r="C1526" s="6" t="s">
        <v>183</v>
      </c>
      <c r="D1526" s="6" t="s">
        <v>116</v>
      </c>
      <c r="E1526" s="14" t="s">
        <v>773</v>
      </c>
      <c r="F1526" s="14" t="s">
        <v>50</v>
      </c>
      <c r="G1526" s="57">
        <f>G1527</f>
        <v>0</v>
      </c>
      <c r="H1526" s="116"/>
      <c r="I1526" s="117"/>
      <c r="J1526" s="116"/>
      <c r="K1526" s="80"/>
      <c r="L1526" s="79"/>
      <c r="M1526" s="79"/>
      <c r="AG1526" s="79"/>
      <c r="AH1526" s="79"/>
      <c r="DT1526" s="99">
        <f t="shared" si="26"/>
        <v>0</v>
      </c>
    </row>
    <row r="1527" spans="1:124" ht="51" hidden="1" customHeight="1" x14ac:dyDescent="0.3">
      <c r="A1527" s="143" t="s">
        <v>264</v>
      </c>
      <c r="B1527" s="23">
        <v>936</v>
      </c>
      <c r="C1527" s="6" t="s">
        <v>183</v>
      </c>
      <c r="D1527" s="6" t="s">
        <v>116</v>
      </c>
      <c r="E1527" s="14" t="s">
        <v>773</v>
      </c>
      <c r="F1527" s="14" t="s">
        <v>261</v>
      </c>
      <c r="G1527" s="57">
        <v>0</v>
      </c>
      <c r="H1527" s="116"/>
      <c r="I1527" s="117"/>
      <c r="J1527" s="116"/>
      <c r="K1527" s="80"/>
      <c r="L1527" s="79"/>
      <c r="M1527" s="79"/>
      <c r="AG1527" s="79"/>
      <c r="AH1527" s="79"/>
      <c r="AQ1527" s="151">
        <v>503.64100000000002</v>
      </c>
      <c r="DT1527" s="99">
        <f t="shared" si="26"/>
        <v>0</v>
      </c>
    </row>
    <row r="1528" spans="1:124" ht="40.5" hidden="1" customHeight="1" x14ac:dyDescent="0.3">
      <c r="A1528" s="143" t="s">
        <v>673</v>
      </c>
      <c r="B1528" s="23">
        <v>936</v>
      </c>
      <c r="C1528" s="6" t="s">
        <v>183</v>
      </c>
      <c r="D1528" s="6" t="s">
        <v>116</v>
      </c>
      <c r="E1528" s="14" t="s">
        <v>958</v>
      </c>
      <c r="F1528" s="14" t="s">
        <v>50</v>
      </c>
      <c r="G1528" s="57">
        <f>G1529</f>
        <v>0</v>
      </c>
      <c r="H1528" s="116"/>
      <c r="I1528" s="117"/>
      <c r="J1528" s="116"/>
      <c r="K1528" s="80"/>
      <c r="L1528" s="79"/>
      <c r="M1528" s="79"/>
      <c r="AG1528" s="79"/>
      <c r="AH1528" s="79"/>
      <c r="DT1528" s="99">
        <f t="shared" si="26"/>
        <v>0</v>
      </c>
    </row>
    <row r="1529" spans="1:124" ht="61.5" hidden="1" customHeight="1" x14ac:dyDescent="0.3">
      <c r="A1529" s="143" t="s">
        <v>290</v>
      </c>
      <c r="B1529" s="23">
        <v>936</v>
      </c>
      <c r="C1529" s="6" t="s">
        <v>183</v>
      </c>
      <c r="D1529" s="6" t="s">
        <v>116</v>
      </c>
      <c r="E1529" s="14" t="s">
        <v>958</v>
      </c>
      <c r="F1529" s="14" t="s">
        <v>291</v>
      </c>
      <c r="G1529" s="57">
        <v>0</v>
      </c>
      <c r="H1529" s="116"/>
      <c r="I1529" s="117"/>
      <c r="J1529" s="116"/>
      <c r="K1529" s="80"/>
      <c r="L1529" s="79"/>
      <c r="M1529" s="79"/>
      <c r="AG1529" s="79"/>
      <c r="AH1529" s="79"/>
      <c r="CX1529" s="270">
        <v>-3319</v>
      </c>
      <c r="DT1529" s="99">
        <f t="shared" si="26"/>
        <v>0</v>
      </c>
    </row>
    <row r="1530" spans="1:124" ht="39" hidden="1" customHeight="1" x14ac:dyDescent="0.3">
      <c r="A1530" s="143" t="s">
        <v>409</v>
      </c>
      <c r="B1530" s="23">
        <v>936</v>
      </c>
      <c r="C1530" s="6" t="s">
        <v>183</v>
      </c>
      <c r="D1530" s="6" t="s">
        <v>116</v>
      </c>
      <c r="E1530" s="14" t="s">
        <v>704</v>
      </c>
      <c r="F1530" s="14" t="s">
        <v>50</v>
      </c>
      <c r="G1530" s="57">
        <f>G1531</f>
        <v>0</v>
      </c>
      <c r="H1530" s="116"/>
      <c r="I1530" s="117"/>
      <c r="J1530" s="116"/>
      <c r="K1530" s="80"/>
      <c r="L1530" s="79"/>
      <c r="M1530" s="79"/>
      <c r="AG1530" s="79"/>
      <c r="AH1530" s="79"/>
      <c r="DT1530" s="99">
        <f t="shared" si="26"/>
        <v>0</v>
      </c>
    </row>
    <row r="1531" spans="1:124" ht="39" hidden="1" customHeight="1" x14ac:dyDescent="0.3">
      <c r="A1531" s="143" t="s">
        <v>62</v>
      </c>
      <c r="B1531" s="23">
        <v>936</v>
      </c>
      <c r="C1531" s="6" t="s">
        <v>183</v>
      </c>
      <c r="D1531" s="6" t="s">
        <v>116</v>
      </c>
      <c r="E1531" s="14" t="s">
        <v>749</v>
      </c>
      <c r="F1531" s="14" t="s">
        <v>50</v>
      </c>
      <c r="G1531" s="57">
        <f>G1532</f>
        <v>0</v>
      </c>
      <c r="H1531" s="116"/>
      <c r="I1531" s="117"/>
      <c r="J1531" s="116"/>
      <c r="K1531" s="80"/>
      <c r="L1531" s="79"/>
      <c r="M1531" s="79"/>
      <c r="AG1531" s="79"/>
      <c r="AH1531" s="79"/>
      <c r="DT1531" s="99">
        <f t="shared" si="26"/>
        <v>0</v>
      </c>
    </row>
    <row r="1532" spans="1:124" ht="39" hidden="1" customHeight="1" x14ac:dyDescent="0.3">
      <c r="A1532" s="143" t="s">
        <v>311</v>
      </c>
      <c r="B1532" s="23">
        <v>936</v>
      </c>
      <c r="C1532" s="6" t="s">
        <v>183</v>
      </c>
      <c r="D1532" s="6" t="s">
        <v>116</v>
      </c>
      <c r="E1532" s="14" t="s">
        <v>1128</v>
      </c>
      <c r="F1532" s="14" t="s">
        <v>50</v>
      </c>
      <c r="G1532" s="57">
        <f>G1533</f>
        <v>0</v>
      </c>
      <c r="H1532" s="116"/>
      <c r="I1532" s="117"/>
      <c r="J1532" s="116"/>
      <c r="K1532" s="80"/>
      <c r="L1532" s="79"/>
      <c r="M1532" s="79"/>
      <c r="AG1532" s="79"/>
      <c r="AH1532" s="79"/>
      <c r="DT1532" s="99">
        <f t="shared" si="26"/>
        <v>0</v>
      </c>
    </row>
    <row r="1533" spans="1:124" ht="39" hidden="1" customHeight="1" x14ac:dyDescent="0.3">
      <c r="A1533" s="143" t="s">
        <v>264</v>
      </c>
      <c r="B1533" s="23">
        <v>936</v>
      </c>
      <c r="C1533" s="6" t="s">
        <v>183</v>
      </c>
      <c r="D1533" s="6" t="s">
        <v>116</v>
      </c>
      <c r="E1533" s="14" t="s">
        <v>1128</v>
      </c>
      <c r="F1533" s="14" t="s">
        <v>261</v>
      </c>
      <c r="G1533" s="57">
        <v>0</v>
      </c>
      <c r="H1533" s="116"/>
      <c r="I1533" s="117"/>
      <c r="J1533" s="116"/>
      <c r="K1533" s="80"/>
      <c r="L1533" s="79"/>
      <c r="M1533" s="79"/>
      <c r="AG1533" s="79"/>
      <c r="AH1533" s="79"/>
      <c r="DE1533" s="194">
        <v>60</v>
      </c>
      <c r="DT1533" s="99">
        <f t="shared" si="26"/>
        <v>0</v>
      </c>
    </row>
    <row r="1534" spans="1:124" x14ac:dyDescent="0.3">
      <c r="A1534" s="155" t="s">
        <v>334</v>
      </c>
      <c r="B1534" s="22">
        <v>936</v>
      </c>
      <c r="C1534" s="22">
        <v>11</v>
      </c>
      <c r="D1534" s="19" t="s">
        <v>117</v>
      </c>
      <c r="E1534" s="22" t="s">
        <v>49</v>
      </c>
      <c r="F1534" s="9" t="s">
        <v>50</v>
      </c>
      <c r="G1534" s="68">
        <f>G1535+G1549</f>
        <v>124898.3</v>
      </c>
      <c r="H1534" s="116"/>
      <c r="I1534" s="117"/>
      <c r="J1534" s="116"/>
      <c r="K1534" s="80"/>
      <c r="L1534" s="79"/>
      <c r="M1534" s="79"/>
      <c r="AG1534" s="79"/>
      <c r="AH1534" s="79"/>
      <c r="DT1534" s="99">
        <f t="shared" si="26"/>
        <v>0</v>
      </c>
    </row>
    <row r="1535" spans="1:124" ht="56.25" x14ac:dyDescent="0.3">
      <c r="A1535" s="156" t="s">
        <v>159</v>
      </c>
      <c r="B1535" s="23">
        <v>936</v>
      </c>
      <c r="C1535" s="6" t="s">
        <v>183</v>
      </c>
      <c r="D1535" s="6" t="s">
        <v>117</v>
      </c>
      <c r="E1535" s="14" t="s">
        <v>91</v>
      </c>
      <c r="F1535" s="14" t="s">
        <v>50</v>
      </c>
      <c r="G1535" s="57">
        <f>G1536+G1542+G1545+G1547+G1575</f>
        <v>124898.3</v>
      </c>
      <c r="H1535" s="116"/>
      <c r="I1535" s="117"/>
      <c r="J1535" s="116"/>
      <c r="K1535" s="80"/>
      <c r="L1535" s="79"/>
      <c r="M1535" s="79"/>
      <c r="AG1535" s="79"/>
      <c r="AH1535" s="79"/>
      <c r="DT1535" s="99">
        <f t="shared" si="26"/>
        <v>0</v>
      </c>
    </row>
    <row r="1536" spans="1:124" ht="37.5" x14ac:dyDescent="0.3">
      <c r="A1536" s="143" t="s">
        <v>52</v>
      </c>
      <c r="B1536" s="23">
        <v>936</v>
      </c>
      <c r="C1536" s="6" t="s">
        <v>183</v>
      </c>
      <c r="D1536" s="6" t="s">
        <v>117</v>
      </c>
      <c r="E1536" s="14" t="s">
        <v>358</v>
      </c>
      <c r="F1536" s="14" t="s">
        <v>50</v>
      </c>
      <c r="G1536" s="57">
        <f>G1537+G1539</f>
        <v>56857.000000000007</v>
      </c>
      <c r="H1536" s="116"/>
      <c r="I1536" s="117"/>
      <c r="J1536" s="116"/>
      <c r="K1536" s="80"/>
      <c r="L1536" s="79"/>
      <c r="M1536" s="79"/>
      <c r="AG1536" s="79"/>
      <c r="AH1536" s="79"/>
      <c r="DT1536" s="99">
        <f t="shared" si="26"/>
        <v>0</v>
      </c>
    </row>
    <row r="1537" spans="1:125" ht="39.75" customHeight="1" x14ac:dyDescent="0.3">
      <c r="A1537" s="143" t="s">
        <v>384</v>
      </c>
      <c r="B1537" s="23">
        <v>936</v>
      </c>
      <c r="C1537" s="6" t="s">
        <v>183</v>
      </c>
      <c r="D1537" s="6" t="s">
        <v>117</v>
      </c>
      <c r="E1537" s="14" t="s">
        <v>359</v>
      </c>
      <c r="F1537" s="14" t="s">
        <v>50</v>
      </c>
      <c r="G1537" s="57">
        <f>G1538</f>
        <v>43817.000000000007</v>
      </c>
      <c r="H1537" s="116"/>
      <c r="I1537" s="117"/>
      <c r="J1537" s="116"/>
      <c r="K1537" s="80"/>
      <c r="L1537" s="79"/>
      <c r="M1537" s="79"/>
      <c r="AG1537" s="79"/>
      <c r="AH1537" s="79"/>
      <c r="DT1537" s="99">
        <f t="shared" si="26"/>
        <v>0</v>
      </c>
    </row>
    <row r="1538" spans="1:125" ht="43.5" customHeight="1" x14ac:dyDescent="0.3">
      <c r="A1538" s="143" t="s">
        <v>264</v>
      </c>
      <c r="B1538" s="23">
        <v>936</v>
      </c>
      <c r="C1538" s="6" t="s">
        <v>183</v>
      </c>
      <c r="D1538" s="6" t="s">
        <v>117</v>
      </c>
      <c r="E1538" s="14" t="s">
        <v>359</v>
      </c>
      <c r="F1538" s="14" t="s">
        <v>261</v>
      </c>
      <c r="G1538" s="57">
        <f>DT1538</f>
        <v>43817.000000000007</v>
      </c>
      <c r="H1538" s="116">
        <f>25978.7+10441.5+60</f>
        <v>36480.199999999997</v>
      </c>
      <c r="I1538" s="117"/>
      <c r="J1538" s="116"/>
      <c r="K1538" s="80"/>
      <c r="L1538" s="79"/>
      <c r="M1538" s="79"/>
      <c r="W1538">
        <v>40</v>
      </c>
      <c r="AC1538">
        <v>33</v>
      </c>
      <c r="AF1538">
        <v>191.7</v>
      </c>
      <c r="AG1538" s="79">
        <v>755.3</v>
      </c>
      <c r="AH1538" s="79"/>
      <c r="AK1538" s="79">
        <f>27907.6+140</f>
        <v>28047.599999999999</v>
      </c>
      <c r="AX1538" s="101">
        <v>-250</v>
      </c>
      <c r="BE1538" s="226">
        <v>-1000</v>
      </c>
      <c r="BL1538" s="194">
        <v>-2225</v>
      </c>
      <c r="BM1538" s="100">
        <v>40586</v>
      </c>
      <c r="CD1538" s="226">
        <f>64+1550</f>
        <v>1614</v>
      </c>
      <c r="CP1538" s="259">
        <v>150.5</v>
      </c>
      <c r="CR1538" s="99">
        <v>3035</v>
      </c>
      <c r="CS1538" s="264">
        <f>439+47.2+36237.2-0.1+9802.6</f>
        <v>46525.899999999994</v>
      </c>
      <c r="CV1538" s="268">
        <v>180</v>
      </c>
      <c r="CY1538" s="194">
        <v>242</v>
      </c>
      <c r="DF1538" s="194">
        <f>178.1+20</f>
        <v>198.1</v>
      </c>
      <c r="DO1538" s="274">
        <f>42769.1-13000</f>
        <v>29769.1</v>
      </c>
      <c r="DP1538" s="99">
        <f>5266.8+5837.9+0.1+407.7+366.2</f>
        <v>11878.700000000003</v>
      </c>
      <c r="DQ1538" s="99">
        <v>73.5</v>
      </c>
      <c r="DR1538" s="99">
        <v>482.8</v>
      </c>
      <c r="DS1538" s="99">
        <f>1141.9+471</f>
        <v>1612.9</v>
      </c>
      <c r="DT1538" s="99">
        <f t="shared" si="26"/>
        <v>43817.000000000007</v>
      </c>
    </row>
    <row r="1539" spans="1:125" ht="43.5" customHeight="1" x14ac:dyDescent="0.3">
      <c r="A1539" s="162" t="s">
        <v>374</v>
      </c>
      <c r="B1539" s="23">
        <v>936</v>
      </c>
      <c r="C1539" s="6" t="s">
        <v>183</v>
      </c>
      <c r="D1539" s="6" t="s">
        <v>117</v>
      </c>
      <c r="E1539" s="14" t="s">
        <v>511</v>
      </c>
      <c r="F1539" s="14" t="s">
        <v>50</v>
      </c>
      <c r="G1539" s="57">
        <f>G1540</f>
        <v>13040</v>
      </c>
      <c r="H1539" s="116"/>
      <c r="I1539" s="117"/>
      <c r="J1539" s="116"/>
      <c r="K1539" s="80"/>
      <c r="L1539" s="79"/>
      <c r="M1539" s="79"/>
      <c r="AG1539" s="79"/>
      <c r="AH1539" s="79"/>
      <c r="DT1539" s="99">
        <f t="shared" si="26"/>
        <v>0</v>
      </c>
    </row>
    <row r="1540" spans="1:125" ht="43.5" customHeight="1" x14ac:dyDescent="0.3">
      <c r="A1540" s="143" t="s">
        <v>264</v>
      </c>
      <c r="B1540" s="23">
        <v>936</v>
      </c>
      <c r="C1540" s="6" t="s">
        <v>183</v>
      </c>
      <c r="D1540" s="6" t="s">
        <v>117</v>
      </c>
      <c r="E1540" s="14" t="s">
        <v>511</v>
      </c>
      <c r="F1540" s="14" t="s">
        <v>261</v>
      </c>
      <c r="G1540" s="57">
        <f>DT1540</f>
        <v>13040</v>
      </c>
      <c r="H1540" s="116"/>
      <c r="I1540" s="117"/>
      <c r="J1540" s="116"/>
      <c r="K1540" s="80"/>
      <c r="L1540" s="79"/>
      <c r="M1540" s="79"/>
      <c r="AF1540">
        <v>-299.983</v>
      </c>
      <c r="AG1540" s="79"/>
      <c r="AH1540" s="79"/>
      <c r="AK1540" s="79">
        <v>0</v>
      </c>
      <c r="AP1540" s="151">
        <v>1355.5</v>
      </c>
      <c r="BK1540" s="226">
        <v>1730</v>
      </c>
      <c r="BY1540" s="151">
        <v>997.2</v>
      </c>
      <c r="CI1540" s="194">
        <v>333.9</v>
      </c>
      <c r="CO1540" s="259">
        <v>3640</v>
      </c>
      <c r="CW1540" s="268">
        <v>1450.3</v>
      </c>
      <c r="DI1540" s="270">
        <v>401.2</v>
      </c>
      <c r="DO1540" s="274">
        <v>13000</v>
      </c>
      <c r="DQ1540" s="99">
        <v>40</v>
      </c>
      <c r="DT1540" s="99">
        <f t="shared" si="26"/>
        <v>13040</v>
      </c>
    </row>
    <row r="1541" spans="1:125" ht="43.5" hidden="1" customHeight="1" x14ac:dyDescent="0.3">
      <c r="A1541" s="143" t="s">
        <v>411</v>
      </c>
      <c r="B1541" s="23">
        <v>936</v>
      </c>
      <c r="C1541" s="17" t="s">
        <v>183</v>
      </c>
      <c r="D1541" s="17" t="s">
        <v>117</v>
      </c>
      <c r="E1541" s="15" t="s">
        <v>410</v>
      </c>
      <c r="F1541" s="14" t="s">
        <v>50</v>
      </c>
      <c r="G1541" s="57">
        <f>G1542</f>
        <v>0</v>
      </c>
      <c r="H1541" s="116"/>
      <c r="I1541" s="117"/>
      <c r="J1541" s="116"/>
      <c r="K1541" s="80"/>
      <c r="L1541" s="79"/>
      <c r="M1541" s="79"/>
      <c r="AG1541" s="79"/>
      <c r="AH1541" s="79"/>
      <c r="DT1541" s="99">
        <f t="shared" si="26"/>
        <v>0</v>
      </c>
    </row>
    <row r="1542" spans="1:125" hidden="1" x14ac:dyDescent="0.3">
      <c r="A1542" s="174" t="s">
        <v>412</v>
      </c>
      <c r="B1542" s="23">
        <v>936</v>
      </c>
      <c r="C1542" s="17" t="s">
        <v>183</v>
      </c>
      <c r="D1542" s="17" t="s">
        <v>117</v>
      </c>
      <c r="E1542" s="69" t="s">
        <v>363</v>
      </c>
      <c r="F1542" s="69" t="s">
        <v>50</v>
      </c>
      <c r="G1542" s="57">
        <f>G1543</f>
        <v>0</v>
      </c>
      <c r="H1542" s="116"/>
      <c r="I1542" s="117"/>
      <c r="J1542" s="116"/>
      <c r="K1542" s="80"/>
      <c r="L1542" s="79"/>
      <c r="M1542" s="79"/>
      <c r="AG1542" s="79"/>
      <c r="AH1542" s="79"/>
      <c r="DT1542" s="99">
        <f t="shared" si="26"/>
        <v>0</v>
      </c>
    </row>
    <row r="1543" spans="1:125" ht="81" hidden="1" customHeight="1" x14ac:dyDescent="0.3">
      <c r="A1543" s="222" t="s">
        <v>362</v>
      </c>
      <c r="B1543" s="23">
        <v>936</v>
      </c>
      <c r="C1543" s="17" t="s">
        <v>183</v>
      </c>
      <c r="D1543" s="17" t="s">
        <v>117</v>
      </c>
      <c r="E1543" s="15" t="s">
        <v>364</v>
      </c>
      <c r="F1543" s="15" t="s">
        <v>50</v>
      </c>
      <c r="G1543" s="57">
        <f>G1544</f>
        <v>0</v>
      </c>
      <c r="H1543" s="116"/>
      <c r="I1543" s="117"/>
      <c r="J1543" s="116"/>
      <c r="K1543" s="80"/>
      <c r="L1543" s="79"/>
      <c r="M1543" s="79"/>
      <c r="AG1543" s="79"/>
      <c r="AH1543" s="79"/>
      <c r="DT1543" s="99">
        <f t="shared" si="26"/>
        <v>0</v>
      </c>
    </row>
    <row r="1544" spans="1:125" ht="43.5" hidden="1" customHeight="1" x14ac:dyDescent="0.3">
      <c r="A1544" s="174" t="s">
        <v>264</v>
      </c>
      <c r="B1544" s="23">
        <v>936</v>
      </c>
      <c r="C1544" s="17" t="s">
        <v>183</v>
      </c>
      <c r="D1544" s="17" t="s">
        <v>117</v>
      </c>
      <c r="E1544" s="15" t="s">
        <v>364</v>
      </c>
      <c r="F1544" s="14" t="s">
        <v>261</v>
      </c>
      <c r="G1544" s="57">
        <v>0</v>
      </c>
      <c r="H1544" s="116"/>
      <c r="I1544" s="117"/>
      <c r="J1544" s="116"/>
      <c r="K1544" s="80"/>
      <c r="L1544" s="79"/>
      <c r="M1544" s="79"/>
      <c r="AG1544" s="79"/>
      <c r="AH1544" s="79"/>
      <c r="DT1544" s="99">
        <f t="shared" si="26"/>
        <v>0</v>
      </c>
    </row>
    <row r="1545" spans="1:125" ht="48.75" customHeight="1" x14ac:dyDescent="0.3">
      <c r="A1545" s="232" t="s">
        <v>876</v>
      </c>
      <c r="B1545" s="23">
        <v>936</v>
      </c>
      <c r="C1545" s="6" t="s">
        <v>183</v>
      </c>
      <c r="D1545" s="6" t="s">
        <v>117</v>
      </c>
      <c r="E1545" s="113" t="s">
        <v>1183</v>
      </c>
      <c r="F1545" s="14" t="s">
        <v>50</v>
      </c>
      <c r="G1545" s="57">
        <f>G1546</f>
        <v>800</v>
      </c>
      <c r="H1545" s="116"/>
      <c r="I1545" s="117"/>
      <c r="J1545" s="116"/>
      <c r="K1545" s="80"/>
      <c r="L1545" s="79"/>
      <c r="M1545" s="79"/>
      <c r="AG1545" s="79"/>
      <c r="AH1545" s="79"/>
      <c r="DT1545" s="99">
        <f t="shared" si="26"/>
        <v>0</v>
      </c>
    </row>
    <row r="1546" spans="1:125" ht="43.5" customHeight="1" x14ac:dyDescent="0.3">
      <c r="A1546" s="143" t="s">
        <v>264</v>
      </c>
      <c r="B1546" s="23">
        <v>936</v>
      </c>
      <c r="C1546" s="6" t="s">
        <v>183</v>
      </c>
      <c r="D1546" s="6" t="s">
        <v>117</v>
      </c>
      <c r="E1546" s="113" t="s">
        <v>1183</v>
      </c>
      <c r="F1546" s="14" t="s">
        <v>261</v>
      </c>
      <c r="G1546" s="57">
        <f>DT1546</f>
        <v>800</v>
      </c>
      <c r="H1546" s="116"/>
      <c r="I1546" s="117">
        <v>500</v>
      </c>
      <c r="J1546" s="116"/>
      <c r="K1546" s="80"/>
      <c r="L1546" s="79"/>
      <c r="M1546" s="79"/>
      <c r="AG1546" s="79"/>
      <c r="AH1546" s="79"/>
      <c r="AO1546" s="150">
        <v>250</v>
      </c>
      <c r="BO1546" s="238">
        <v>750</v>
      </c>
      <c r="CQ1546" s="99">
        <v>866</v>
      </c>
      <c r="CT1546" s="258">
        <v>-66</v>
      </c>
      <c r="DN1546" s="274">
        <v>800</v>
      </c>
      <c r="DT1546" s="99">
        <f t="shared" si="26"/>
        <v>800</v>
      </c>
    </row>
    <row r="1547" spans="1:125" ht="81" customHeight="1" x14ac:dyDescent="0.3">
      <c r="A1547" s="277" t="s">
        <v>1150</v>
      </c>
      <c r="B1547" s="23">
        <v>936</v>
      </c>
      <c r="C1547" s="6" t="s">
        <v>183</v>
      </c>
      <c r="D1547" s="6" t="s">
        <v>117</v>
      </c>
      <c r="E1547" s="113" t="s">
        <v>1175</v>
      </c>
      <c r="F1547" s="14" t="s">
        <v>50</v>
      </c>
      <c r="G1547" s="57">
        <f>G1548</f>
        <v>64241.299999999996</v>
      </c>
      <c r="H1547" s="116"/>
      <c r="I1547" s="117"/>
      <c r="J1547" s="116"/>
      <c r="K1547" s="80"/>
      <c r="L1547" s="79"/>
      <c r="M1547" s="79"/>
      <c r="AG1547" s="79"/>
      <c r="AH1547" s="79"/>
      <c r="DT1547" s="99">
        <f t="shared" si="26"/>
        <v>0</v>
      </c>
    </row>
    <row r="1548" spans="1:125" ht="61.5" customHeight="1" x14ac:dyDescent="0.3">
      <c r="A1548" s="143" t="s">
        <v>264</v>
      </c>
      <c r="B1548" s="23">
        <v>936</v>
      </c>
      <c r="C1548" s="6" t="s">
        <v>183</v>
      </c>
      <c r="D1548" s="6" t="s">
        <v>117</v>
      </c>
      <c r="E1548" s="113" t="s">
        <v>1175</v>
      </c>
      <c r="F1548" s="14" t="s">
        <v>261</v>
      </c>
      <c r="G1548" s="57">
        <f>DT1548+DU1548</f>
        <v>64241.299999999996</v>
      </c>
      <c r="H1548" s="116"/>
      <c r="I1548" s="117"/>
      <c r="J1548" s="116"/>
      <c r="K1548" s="80"/>
      <c r="L1548" s="79"/>
      <c r="M1548" s="79"/>
      <c r="AG1548" s="79"/>
      <c r="AH1548" s="79"/>
      <c r="DN1548" s="274">
        <f>59411.7+600.1</f>
        <v>60011.799999999996</v>
      </c>
      <c r="DT1548" s="99">
        <f t="shared" si="26"/>
        <v>60011.799999999996</v>
      </c>
      <c r="DU1548" s="270">
        <v>4229.5</v>
      </c>
    </row>
    <row r="1549" spans="1:125" ht="45.75" hidden="1" customHeight="1" x14ac:dyDescent="0.3">
      <c r="A1549" s="156" t="s">
        <v>161</v>
      </c>
      <c r="B1549" s="23">
        <v>936</v>
      </c>
      <c r="C1549" s="6" t="s">
        <v>183</v>
      </c>
      <c r="D1549" s="6" t="s">
        <v>117</v>
      </c>
      <c r="E1549" s="15" t="s">
        <v>99</v>
      </c>
      <c r="F1549" s="31" t="s">
        <v>50</v>
      </c>
      <c r="G1549" s="57">
        <f>G1550</f>
        <v>0</v>
      </c>
      <c r="H1549" s="116"/>
      <c r="I1549" s="117"/>
      <c r="J1549" s="116"/>
      <c r="K1549" s="80"/>
      <c r="L1549" s="79"/>
      <c r="M1549" s="79"/>
      <c r="AG1549" s="79"/>
      <c r="AH1549" s="79"/>
      <c r="DT1549" s="99">
        <f t="shared" si="26"/>
        <v>0</v>
      </c>
    </row>
    <row r="1550" spans="1:125" ht="57.75" hidden="1" customHeight="1" x14ac:dyDescent="0.3">
      <c r="A1550" s="156" t="s">
        <v>11</v>
      </c>
      <c r="B1550" s="23">
        <v>936</v>
      </c>
      <c r="C1550" s="6" t="s">
        <v>183</v>
      </c>
      <c r="D1550" s="6" t="s">
        <v>117</v>
      </c>
      <c r="E1550" s="15" t="s">
        <v>29</v>
      </c>
      <c r="F1550" s="14" t="s">
        <v>50</v>
      </c>
      <c r="G1550" s="103">
        <f>G1551+G1558+G1560+G1566+G1562+G1564</f>
        <v>0</v>
      </c>
      <c r="H1550" s="137"/>
      <c r="I1550" s="138"/>
      <c r="J1550" s="137"/>
      <c r="K1550" s="80"/>
      <c r="L1550" s="79"/>
      <c r="M1550" s="79"/>
      <c r="AG1550" s="79"/>
      <c r="AH1550" s="79"/>
      <c r="DT1550" s="99">
        <f t="shared" si="26"/>
        <v>0</v>
      </c>
    </row>
    <row r="1551" spans="1:125" ht="78" hidden="1" customHeight="1" x14ac:dyDescent="0.3">
      <c r="A1551" s="143" t="s">
        <v>249</v>
      </c>
      <c r="B1551" s="13">
        <v>936</v>
      </c>
      <c r="C1551" s="6" t="s">
        <v>183</v>
      </c>
      <c r="D1551" s="6" t="s">
        <v>117</v>
      </c>
      <c r="E1551" s="14" t="s">
        <v>839</v>
      </c>
      <c r="F1551" s="14" t="s">
        <v>50</v>
      </c>
      <c r="G1551" s="57">
        <f>G1552+G1554+G1556</f>
        <v>0</v>
      </c>
      <c r="H1551" s="116"/>
      <c r="I1551" s="117"/>
      <c r="J1551" s="116"/>
      <c r="K1551" s="80"/>
      <c r="L1551" s="79"/>
      <c r="M1551" s="79"/>
      <c r="AG1551" s="79"/>
      <c r="AH1551" s="79"/>
      <c r="DT1551" s="99">
        <f t="shared" si="26"/>
        <v>0</v>
      </c>
    </row>
    <row r="1552" spans="1:125" ht="108.75" hidden="1" customHeight="1" x14ac:dyDescent="0.3">
      <c r="A1552" s="143" t="s">
        <v>1110</v>
      </c>
      <c r="B1552" s="23">
        <v>936</v>
      </c>
      <c r="C1552" s="6" t="s">
        <v>183</v>
      </c>
      <c r="D1552" s="6" t="s">
        <v>117</v>
      </c>
      <c r="E1552" s="14" t="s">
        <v>999</v>
      </c>
      <c r="F1552" s="14" t="s">
        <v>50</v>
      </c>
      <c r="G1552" s="57">
        <f>G1553</f>
        <v>0</v>
      </c>
      <c r="H1552" s="116"/>
      <c r="I1552" s="117"/>
      <c r="J1552" s="116"/>
      <c r="K1552" s="80"/>
      <c r="L1552" s="79"/>
      <c r="M1552" s="79"/>
      <c r="AG1552" s="79"/>
      <c r="AH1552" s="79"/>
      <c r="DT1552" s="99">
        <f t="shared" si="26"/>
        <v>0</v>
      </c>
    </row>
    <row r="1553" spans="1:124" ht="37.5" hidden="1" x14ac:dyDescent="0.3">
      <c r="A1553" s="143" t="s">
        <v>425</v>
      </c>
      <c r="B1553" s="23">
        <v>936</v>
      </c>
      <c r="C1553" s="6" t="s">
        <v>183</v>
      </c>
      <c r="D1553" s="6" t="s">
        <v>117</v>
      </c>
      <c r="E1553" s="14" t="s">
        <v>999</v>
      </c>
      <c r="F1553" s="1">
        <v>200</v>
      </c>
      <c r="G1553" s="110">
        <v>0</v>
      </c>
      <c r="H1553" s="137"/>
      <c r="I1553" s="138"/>
      <c r="J1553" s="137"/>
      <c r="K1553" s="80">
        <v>1000</v>
      </c>
      <c r="L1553" s="80"/>
      <c r="M1553" s="79"/>
      <c r="Z1553">
        <v>211.25299999999999</v>
      </c>
      <c r="AG1553" s="79"/>
      <c r="AH1553" s="79"/>
      <c r="AK1553" s="79">
        <v>0</v>
      </c>
      <c r="AP1553" s="151">
        <v>1500</v>
      </c>
      <c r="CT1553" s="258">
        <v>1500</v>
      </c>
      <c r="DT1553" s="99">
        <f t="shared" si="26"/>
        <v>0</v>
      </c>
    </row>
    <row r="1554" spans="1:124" ht="131.25" hidden="1" x14ac:dyDescent="0.3">
      <c r="A1554" s="143" t="s">
        <v>1112</v>
      </c>
      <c r="B1554" s="23">
        <v>936</v>
      </c>
      <c r="C1554" s="6" t="s">
        <v>183</v>
      </c>
      <c r="D1554" s="6" t="s">
        <v>117</v>
      </c>
      <c r="E1554" s="14" t="s">
        <v>998</v>
      </c>
      <c r="F1554" s="14" t="s">
        <v>50</v>
      </c>
      <c r="G1554" s="103">
        <f>G1555</f>
        <v>0</v>
      </c>
      <c r="H1554" s="137"/>
      <c r="I1554" s="138"/>
      <c r="J1554" s="137"/>
      <c r="K1554" s="80"/>
      <c r="L1554" s="80"/>
      <c r="M1554" s="79"/>
      <c r="AG1554" s="79"/>
      <c r="AH1554" s="79"/>
      <c r="DT1554" s="99">
        <f t="shared" si="26"/>
        <v>0</v>
      </c>
    </row>
    <row r="1555" spans="1:124" ht="37.5" hidden="1" x14ac:dyDescent="0.3">
      <c r="A1555" s="143" t="s">
        <v>425</v>
      </c>
      <c r="B1555" s="23">
        <v>936</v>
      </c>
      <c r="C1555" s="6" t="s">
        <v>183</v>
      </c>
      <c r="D1555" s="6" t="s">
        <v>117</v>
      </c>
      <c r="E1555" s="14" t="s">
        <v>998</v>
      </c>
      <c r="F1555" s="1">
        <v>200</v>
      </c>
      <c r="G1555" s="110">
        <v>0</v>
      </c>
      <c r="H1555" s="137"/>
      <c r="I1555" s="138"/>
      <c r="J1555" s="137"/>
      <c r="K1555" s="80">
        <v>1000</v>
      </c>
      <c r="L1555" s="79"/>
      <c r="M1555" s="79"/>
      <c r="Z1555">
        <v>211.047</v>
      </c>
      <c r="AG1555" s="79"/>
      <c r="AH1555" s="79"/>
      <c r="AK1555" s="79">
        <v>0</v>
      </c>
      <c r="AP1555" s="151">
        <v>1401.1849999999999</v>
      </c>
      <c r="CT1555" s="258">
        <v>1500</v>
      </c>
      <c r="DT1555" s="99">
        <f t="shared" si="26"/>
        <v>0</v>
      </c>
    </row>
    <row r="1556" spans="1:124" ht="131.25" hidden="1" x14ac:dyDescent="0.3">
      <c r="A1556" s="143" t="s">
        <v>1113</v>
      </c>
      <c r="B1556" s="23">
        <v>936</v>
      </c>
      <c r="C1556" s="6" t="s">
        <v>183</v>
      </c>
      <c r="D1556" s="6" t="s">
        <v>117</v>
      </c>
      <c r="E1556" s="14" t="s">
        <v>1000</v>
      </c>
      <c r="F1556" s="14" t="s">
        <v>50</v>
      </c>
      <c r="G1556" s="110">
        <f>G1557</f>
        <v>0</v>
      </c>
      <c r="H1556" s="137"/>
      <c r="I1556" s="138"/>
      <c r="J1556" s="137"/>
      <c r="K1556" s="80"/>
      <c r="L1556" s="79"/>
      <c r="M1556" s="79"/>
      <c r="AG1556" s="79"/>
      <c r="AH1556" s="79"/>
      <c r="DT1556" s="99">
        <f t="shared" si="26"/>
        <v>0</v>
      </c>
    </row>
    <row r="1557" spans="1:124" ht="56.25" hidden="1" x14ac:dyDescent="0.3">
      <c r="A1557" s="143" t="s">
        <v>264</v>
      </c>
      <c r="B1557" s="23">
        <v>936</v>
      </c>
      <c r="C1557" s="6" t="s">
        <v>183</v>
      </c>
      <c r="D1557" s="6" t="s">
        <v>117</v>
      </c>
      <c r="E1557" s="14" t="s">
        <v>1000</v>
      </c>
      <c r="F1557" s="1">
        <v>600</v>
      </c>
      <c r="G1557" s="110">
        <v>0</v>
      </c>
      <c r="H1557" s="137"/>
      <c r="I1557" s="138"/>
      <c r="J1557" s="137"/>
      <c r="K1557" s="80"/>
      <c r="L1557" s="79"/>
      <c r="M1557" s="79"/>
      <c r="AG1557" s="79"/>
      <c r="AH1557" s="79"/>
      <c r="CT1557" s="258">
        <v>1500</v>
      </c>
      <c r="DT1557" s="99">
        <f t="shared" si="26"/>
        <v>0</v>
      </c>
    </row>
    <row r="1558" spans="1:124" ht="112.5" hidden="1" x14ac:dyDescent="0.3">
      <c r="A1558" s="143" t="s">
        <v>1110</v>
      </c>
      <c r="B1558" s="23">
        <v>936</v>
      </c>
      <c r="C1558" s="6" t="s">
        <v>183</v>
      </c>
      <c r="D1558" s="6" t="s">
        <v>117</v>
      </c>
      <c r="E1558" s="14" t="s">
        <v>1004</v>
      </c>
      <c r="F1558" s="14" t="s">
        <v>50</v>
      </c>
      <c r="G1558" s="103">
        <f>G1559</f>
        <v>0</v>
      </c>
      <c r="H1558" s="137"/>
      <c r="I1558" s="138"/>
      <c r="J1558" s="137"/>
      <c r="K1558" s="80"/>
      <c r="L1558" s="79"/>
      <c r="M1558" s="79"/>
      <c r="AG1558" s="79"/>
      <c r="AH1558" s="79"/>
      <c r="DT1558" s="99">
        <f t="shared" ref="DT1558:DT1590" si="27">DN1558+DO1558+DP1558+DQ1558+DR1558+DS1558</f>
        <v>0</v>
      </c>
    </row>
    <row r="1559" spans="1:124" ht="37.5" hidden="1" x14ac:dyDescent="0.3">
      <c r="A1559" s="143" t="s">
        <v>425</v>
      </c>
      <c r="B1559" s="23">
        <v>936</v>
      </c>
      <c r="C1559" s="6" t="s">
        <v>183</v>
      </c>
      <c r="D1559" s="6" t="s">
        <v>117</v>
      </c>
      <c r="E1559" s="14" t="s">
        <v>1004</v>
      </c>
      <c r="F1559" s="1">
        <v>200</v>
      </c>
      <c r="G1559" s="103">
        <v>0</v>
      </c>
      <c r="H1559" s="137"/>
      <c r="I1559" s="138"/>
      <c r="J1559" s="137"/>
      <c r="K1559" s="80"/>
      <c r="L1559" s="79"/>
      <c r="M1559" s="79">
        <v>364.363</v>
      </c>
      <c r="AG1559" s="79"/>
      <c r="AH1559" s="79"/>
      <c r="AK1559" s="79">
        <v>0</v>
      </c>
      <c r="AQ1559" s="151">
        <v>215</v>
      </c>
      <c r="CU1559" s="258">
        <v>203</v>
      </c>
      <c r="DF1559" s="194">
        <v>-49.6</v>
      </c>
      <c r="DT1559" s="99">
        <f t="shared" si="27"/>
        <v>0</v>
      </c>
    </row>
    <row r="1560" spans="1:124" ht="112.5" hidden="1" x14ac:dyDescent="0.3">
      <c r="A1560" s="143" t="s">
        <v>712</v>
      </c>
      <c r="B1560" s="23">
        <v>936</v>
      </c>
      <c r="C1560" s="6" t="s">
        <v>183</v>
      </c>
      <c r="D1560" s="6" t="s">
        <v>117</v>
      </c>
      <c r="E1560" s="15" t="s">
        <v>745</v>
      </c>
      <c r="F1560" s="14" t="s">
        <v>50</v>
      </c>
      <c r="G1560" s="103">
        <f>G1561</f>
        <v>0</v>
      </c>
      <c r="H1560" s="137"/>
      <c r="I1560" s="138"/>
      <c r="J1560" s="137"/>
      <c r="K1560" s="80"/>
      <c r="L1560" s="79"/>
      <c r="M1560" s="79"/>
      <c r="AG1560" s="79"/>
      <c r="AH1560" s="79"/>
      <c r="DT1560" s="99">
        <f t="shared" si="27"/>
        <v>0</v>
      </c>
    </row>
    <row r="1561" spans="1:124" ht="56.25" hidden="1" x14ac:dyDescent="0.3">
      <c r="A1561" s="143" t="s">
        <v>264</v>
      </c>
      <c r="B1561" s="23">
        <v>936</v>
      </c>
      <c r="C1561" s="6" t="s">
        <v>183</v>
      </c>
      <c r="D1561" s="6" t="s">
        <v>117</v>
      </c>
      <c r="E1561" s="15" t="s">
        <v>745</v>
      </c>
      <c r="F1561" s="1">
        <v>600</v>
      </c>
      <c r="G1561" s="103">
        <v>0</v>
      </c>
      <c r="H1561" s="137"/>
      <c r="I1561" s="138"/>
      <c r="J1561" s="137"/>
      <c r="K1561" s="80"/>
      <c r="L1561" s="79"/>
      <c r="M1561" s="79">
        <v>240.745</v>
      </c>
      <c r="AG1561" s="79"/>
      <c r="AH1561" s="79"/>
      <c r="AK1561" s="79">
        <v>0</v>
      </c>
      <c r="AQ1561" s="151">
        <v>191</v>
      </c>
      <c r="DT1561" s="99">
        <f t="shared" si="27"/>
        <v>0</v>
      </c>
    </row>
    <row r="1562" spans="1:124" ht="131.25" hidden="1" x14ac:dyDescent="0.3">
      <c r="A1562" s="143" t="s">
        <v>1111</v>
      </c>
      <c r="B1562" s="23">
        <v>936</v>
      </c>
      <c r="C1562" s="6" t="s">
        <v>183</v>
      </c>
      <c r="D1562" s="6" t="s">
        <v>117</v>
      </c>
      <c r="E1562" s="14" t="s">
        <v>1005</v>
      </c>
      <c r="F1562" s="14" t="s">
        <v>50</v>
      </c>
      <c r="G1562" s="103">
        <f>G1563</f>
        <v>0</v>
      </c>
      <c r="H1562" s="137"/>
      <c r="I1562" s="138"/>
      <c r="J1562" s="137"/>
      <c r="K1562" s="80"/>
      <c r="L1562" s="79"/>
      <c r="M1562" s="79"/>
      <c r="AG1562" s="79"/>
      <c r="AH1562" s="79"/>
      <c r="DT1562" s="99">
        <f t="shared" si="27"/>
        <v>0</v>
      </c>
    </row>
    <row r="1563" spans="1:124" ht="37.5" hidden="1" x14ac:dyDescent="0.3">
      <c r="A1563" s="143" t="s">
        <v>425</v>
      </c>
      <c r="B1563" s="23">
        <v>936</v>
      </c>
      <c r="C1563" s="6" t="s">
        <v>183</v>
      </c>
      <c r="D1563" s="6" t="s">
        <v>117</v>
      </c>
      <c r="E1563" s="14" t="s">
        <v>1005</v>
      </c>
      <c r="F1563" s="1">
        <v>200</v>
      </c>
      <c r="G1563" s="103">
        <v>0</v>
      </c>
      <c r="H1563" s="137"/>
      <c r="I1563" s="138"/>
      <c r="J1563" s="137"/>
      <c r="K1563" s="80"/>
      <c r="L1563" s="79"/>
      <c r="M1563" s="79"/>
      <c r="AG1563" s="79"/>
      <c r="AH1563" s="79"/>
      <c r="CU1563" s="258">
        <v>971.29700000000003</v>
      </c>
      <c r="DF1563" s="194">
        <v>-184.1</v>
      </c>
      <c r="DT1563" s="99">
        <f t="shared" si="27"/>
        <v>0</v>
      </c>
    </row>
    <row r="1564" spans="1:124" ht="131.25" hidden="1" x14ac:dyDescent="0.3">
      <c r="A1564" s="143" t="s">
        <v>1114</v>
      </c>
      <c r="B1564" s="23">
        <v>936</v>
      </c>
      <c r="C1564" s="6" t="s">
        <v>183</v>
      </c>
      <c r="D1564" s="6" t="s">
        <v>117</v>
      </c>
      <c r="E1564" s="14" t="s">
        <v>1006</v>
      </c>
      <c r="F1564" s="14" t="s">
        <v>50</v>
      </c>
      <c r="G1564" s="103">
        <f>G1565</f>
        <v>0</v>
      </c>
      <c r="H1564" s="137"/>
      <c r="I1564" s="138"/>
      <c r="J1564" s="137"/>
      <c r="K1564" s="80"/>
      <c r="L1564" s="79"/>
      <c r="M1564" s="79"/>
      <c r="AG1564" s="79"/>
      <c r="AH1564" s="79"/>
      <c r="DT1564" s="99">
        <f t="shared" si="27"/>
        <v>0</v>
      </c>
    </row>
    <row r="1565" spans="1:124" ht="56.25" hidden="1" x14ac:dyDescent="0.3">
      <c r="A1565" s="143" t="s">
        <v>264</v>
      </c>
      <c r="B1565" s="23">
        <v>936</v>
      </c>
      <c r="C1565" s="6" t="s">
        <v>183</v>
      </c>
      <c r="D1565" s="6" t="s">
        <v>117</v>
      </c>
      <c r="E1565" s="14" t="s">
        <v>1006</v>
      </c>
      <c r="F1565" s="1">
        <v>600</v>
      </c>
      <c r="G1565" s="103">
        <v>0</v>
      </c>
      <c r="H1565" s="137"/>
      <c r="I1565" s="138"/>
      <c r="J1565" s="137"/>
      <c r="K1565" s="80"/>
      <c r="L1565" s="79"/>
      <c r="M1565" s="79"/>
      <c r="AG1565" s="79"/>
      <c r="AH1565" s="79"/>
      <c r="CU1565" s="258">
        <v>728.76700000000005</v>
      </c>
      <c r="DF1565" s="194">
        <v>-17.8</v>
      </c>
      <c r="DT1565" s="99">
        <f t="shared" si="27"/>
        <v>0</v>
      </c>
    </row>
    <row r="1566" spans="1:124" hidden="1" x14ac:dyDescent="0.3">
      <c r="A1566" s="143" t="s">
        <v>62</v>
      </c>
      <c r="B1566" s="23">
        <v>936</v>
      </c>
      <c r="C1566" s="6" t="s">
        <v>183</v>
      </c>
      <c r="D1566" s="6" t="s">
        <v>117</v>
      </c>
      <c r="E1566" s="14" t="s">
        <v>251</v>
      </c>
      <c r="F1566" s="14" t="s">
        <v>50</v>
      </c>
      <c r="G1566" s="103">
        <f>G1567+G1571+G1573</f>
        <v>0</v>
      </c>
      <c r="H1566" s="137"/>
      <c r="I1566" s="138"/>
      <c r="J1566" s="137"/>
      <c r="K1566" s="80"/>
      <c r="L1566" s="79"/>
      <c r="M1566" s="79"/>
      <c r="AG1566" s="79"/>
      <c r="AH1566" s="79"/>
      <c r="DT1566" s="99">
        <f t="shared" si="27"/>
        <v>0</v>
      </c>
    </row>
    <row r="1567" spans="1:124" ht="133.5" hidden="1" customHeight="1" x14ac:dyDescent="0.3">
      <c r="A1567" s="143" t="s">
        <v>1067</v>
      </c>
      <c r="B1567" s="23">
        <v>936</v>
      </c>
      <c r="C1567" s="6" t="s">
        <v>183</v>
      </c>
      <c r="D1567" s="6" t="s">
        <v>117</v>
      </c>
      <c r="E1567" s="15" t="s">
        <v>1001</v>
      </c>
      <c r="F1567" s="14" t="s">
        <v>50</v>
      </c>
      <c r="G1567" s="103">
        <f>G1568</f>
        <v>0</v>
      </c>
      <c r="H1567" s="137"/>
      <c r="I1567" s="138"/>
      <c r="J1567" s="137"/>
      <c r="K1567" s="80"/>
      <c r="L1567" s="79"/>
      <c r="M1567" s="79"/>
      <c r="AG1567" s="79"/>
      <c r="AH1567" s="79"/>
      <c r="DT1567" s="99">
        <f t="shared" si="27"/>
        <v>0</v>
      </c>
    </row>
    <row r="1568" spans="1:124" ht="56.25" hidden="1" x14ac:dyDescent="0.3">
      <c r="A1568" s="143" t="s">
        <v>264</v>
      </c>
      <c r="B1568" s="23">
        <v>936</v>
      </c>
      <c r="C1568" s="6" t="s">
        <v>183</v>
      </c>
      <c r="D1568" s="6" t="s">
        <v>117</v>
      </c>
      <c r="E1568" s="15" t="s">
        <v>1001</v>
      </c>
      <c r="F1568" s="1">
        <v>200</v>
      </c>
      <c r="G1568" s="103">
        <v>0</v>
      </c>
      <c r="H1568" s="137"/>
      <c r="I1568" s="138"/>
      <c r="J1568" s="137"/>
      <c r="K1568" s="80"/>
      <c r="L1568" s="79"/>
      <c r="M1568" s="79">
        <v>245</v>
      </c>
      <c r="AG1568" s="79"/>
      <c r="AH1568" s="79"/>
      <c r="AK1568" s="79">
        <v>0</v>
      </c>
      <c r="AQ1568" s="151">
        <v>400.10199999999998</v>
      </c>
      <c r="CU1568" s="258">
        <v>322.2</v>
      </c>
      <c r="DT1568" s="99">
        <f t="shared" si="27"/>
        <v>0</v>
      </c>
    </row>
    <row r="1569" spans="1:125" ht="75" hidden="1" x14ac:dyDescent="0.3">
      <c r="A1569" s="143" t="s">
        <v>725</v>
      </c>
      <c r="B1569" s="23">
        <v>936</v>
      </c>
      <c r="C1569" s="6" t="s">
        <v>183</v>
      </c>
      <c r="D1569" s="6" t="s">
        <v>117</v>
      </c>
      <c r="E1569" s="15" t="s">
        <v>746</v>
      </c>
      <c r="F1569" s="14" t="s">
        <v>50</v>
      </c>
      <c r="G1569" s="103">
        <f>G1570</f>
        <v>0</v>
      </c>
      <c r="H1569" s="137"/>
      <c r="I1569" s="138"/>
      <c r="J1569" s="137"/>
      <c r="K1569" s="80"/>
      <c r="L1569" s="79"/>
      <c r="M1569" s="79"/>
      <c r="AG1569" s="79"/>
      <c r="AH1569" s="79"/>
      <c r="DT1569" s="99">
        <f t="shared" si="27"/>
        <v>0</v>
      </c>
    </row>
    <row r="1570" spans="1:125" ht="56.25" hidden="1" x14ac:dyDescent="0.3">
      <c r="A1570" s="143" t="s">
        <v>264</v>
      </c>
      <c r="B1570" s="23">
        <v>936</v>
      </c>
      <c r="C1570" s="6" t="s">
        <v>183</v>
      </c>
      <c r="D1570" s="6" t="s">
        <v>117</v>
      </c>
      <c r="E1570" s="15" t="s">
        <v>746</v>
      </c>
      <c r="F1570" s="1">
        <v>600</v>
      </c>
      <c r="G1570" s="103">
        <v>0</v>
      </c>
      <c r="H1570" s="137"/>
      <c r="I1570" s="138"/>
      <c r="J1570" s="137"/>
      <c r="K1570" s="80"/>
      <c r="L1570" s="79"/>
      <c r="M1570" s="79">
        <v>228</v>
      </c>
      <c r="AG1570" s="79"/>
      <c r="AH1570" s="79"/>
      <c r="AQ1570" s="151">
        <v>310</v>
      </c>
      <c r="DT1570" s="99">
        <f t="shared" si="27"/>
        <v>0</v>
      </c>
    </row>
    <row r="1571" spans="1:125" ht="93.75" hidden="1" x14ac:dyDescent="0.3">
      <c r="A1571" s="143" t="s">
        <v>1068</v>
      </c>
      <c r="B1571" s="23">
        <v>936</v>
      </c>
      <c r="C1571" s="6" t="s">
        <v>183</v>
      </c>
      <c r="D1571" s="6" t="s">
        <v>117</v>
      </c>
      <c r="E1571" s="15" t="s">
        <v>1002</v>
      </c>
      <c r="F1571" s="14" t="s">
        <v>50</v>
      </c>
      <c r="G1571" s="103">
        <f>G1572</f>
        <v>0</v>
      </c>
      <c r="H1571" s="137"/>
      <c r="I1571" s="138"/>
      <c r="J1571" s="137"/>
      <c r="K1571" s="80"/>
      <c r="L1571" s="79"/>
      <c r="M1571" s="79"/>
      <c r="AG1571" s="79"/>
      <c r="AH1571" s="79"/>
      <c r="DT1571" s="99">
        <f t="shared" si="27"/>
        <v>0</v>
      </c>
    </row>
    <row r="1572" spans="1:125" ht="37.5" hidden="1" x14ac:dyDescent="0.3">
      <c r="A1572" s="143" t="s">
        <v>425</v>
      </c>
      <c r="B1572" s="23">
        <v>936</v>
      </c>
      <c r="C1572" s="6" t="s">
        <v>183</v>
      </c>
      <c r="D1572" s="6" t="s">
        <v>117</v>
      </c>
      <c r="E1572" s="15" t="s">
        <v>1002</v>
      </c>
      <c r="F1572" s="1">
        <v>200</v>
      </c>
      <c r="G1572" s="103">
        <v>0</v>
      </c>
      <c r="H1572" s="137"/>
      <c r="I1572" s="138"/>
      <c r="J1572" s="137"/>
      <c r="K1572" s="80"/>
      <c r="L1572" s="79"/>
      <c r="M1572" s="79"/>
      <c r="AG1572" s="79"/>
      <c r="AH1572" s="79"/>
      <c r="CU1572" s="258">
        <v>855</v>
      </c>
      <c r="DT1572" s="99">
        <f t="shared" si="27"/>
        <v>0</v>
      </c>
    </row>
    <row r="1573" spans="1:125" ht="93.75" hidden="1" x14ac:dyDescent="0.3">
      <c r="A1573" s="143" t="s">
        <v>1070</v>
      </c>
      <c r="B1573" s="23">
        <v>936</v>
      </c>
      <c r="C1573" s="6" t="s">
        <v>183</v>
      </c>
      <c r="D1573" s="6" t="s">
        <v>117</v>
      </c>
      <c r="E1573" s="15" t="s">
        <v>1003</v>
      </c>
      <c r="F1573" s="14" t="s">
        <v>50</v>
      </c>
      <c r="G1573" s="103">
        <f>G1574</f>
        <v>0</v>
      </c>
      <c r="H1573" s="137"/>
      <c r="I1573" s="138"/>
      <c r="J1573" s="137"/>
      <c r="K1573" s="80"/>
      <c r="L1573" s="79"/>
      <c r="M1573" s="79"/>
      <c r="AG1573" s="79"/>
      <c r="AH1573" s="79"/>
      <c r="DT1573" s="99">
        <f t="shared" si="27"/>
        <v>0</v>
      </c>
    </row>
    <row r="1574" spans="1:125" ht="56.25" hidden="1" x14ac:dyDescent="0.3">
      <c r="A1574" s="143" t="s">
        <v>264</v>
      </c>
      <c r="B1574" s="23">
        <v>936</v>
      </c>
      <c r="C1574" s="6" t="s">
        <v>183</v>
      </c>
      <c r="D1574" s="6" t="s">
        <v>117</v>
      </c>
      <c r="E1574" s="15" t="s">
        <v>1003</v>
      </c>
      <c r="F1574" s="1">
        <v>600</v>
      </c>
      <c r="G1574" s="103">
        <v>0</v>
      </c>
      <c r="H1574" s="137"/>
      <c r="I1574" s="138"/>
      <c r="J1574" s="137"/>
      <c r="K1574" s="80"/>
      <c r="L1574" s="79"/>
      <c r="M1574" s="79"/>
      <c r="AG1574" s="79"/>
      <c r="AH1574" s="79"/>
      <c r="CU1574" s="258">
        <v>490</v>
      </c>
      <c r="DT1574" s="99">
        <f t="shared" si="27"/>
        <v>0</v>
      </c>
    </row>
    <row r="1575" spans="1:125" ht="50.25" customHeight="1" x14ac:dyDescent="0.3">
      <c r="A1575" s="143" t="s">
        <v>1196</v>
      </c>
      <c r="B1575" s="23">
        <v>936</v>
      </c>
      <c r="C1575" s="6" t="s">
        <v>183</v>
      </c>
      <c r="D1575" s="6" t="s">
        <v>117</v>
      </c>
      <c r="E1575" s="15" t="s">
        <v>1195</v>
      </c>
      <c r="F1575" s="14" t="s">
        <v>50</v>
      </c>
      <c r="G1575" s="103">
        <f>G1576</f>
        <v>3000</v>
      </c>
      <c r="H1575" s="137"/>
      <c r="I1575" s="138"/>
      <c r="J1575" s="137"/>
      <c r="K1575" s="80"/>
      <c r="L1575" s="79"/>
      <c r="M1575" s="79"/>
      <c r="AG1575" s="79"/>
      <c r="AH1575" s="79"/>
      <c r="DT1575" s="99"/>
    </row>
    <row r="1576" spans="1:125" ht="56.25" x14ac:dyDescent="0.3">
      <c r="A1576" s="143" t="s">
        <v>264</v>
      </c>
      <c r="B1576" s="23">
        <v>936</v>
      </c>
      <c r="C1576" s="6" t="s">
        <v>183</v>
      </c>
      <c r="D1576" s="6" t="s">
        <v>117</v>
      </c>
      <c r="E1576" s="15" t="s">
        <v>1195</v>
      </c>
      <c r="F1576" s="14" t="s">
        <v>261</v>
      </c>
      <c r="G1576" s="103">
        <f>DU1576</f>
        <v>3000</v>
      </c>
      <c r="H1576" s="137"/>
      <c r="I1576" s="138"/>
      <c r="J1576" s="137"/>
      <c r="K1576" s="80"/>
      <c r="L1576" s="79"/>
      <c r="M1576" s="79"/>
      <c r="AG1576" s="79"/>
      <c r="AH1576" s="79"/>
      <c r="DT1576" s="99"/>
      <c r="DU1576" s="270">
        <v>3000</v>
      </c>
    </row>
    <row r="1577" spans="1:125" ht="56.25" x14ac:dyDescent="0.3">
      <c r="A1577" s="208" t="s">
        <v>16</v>
      </c>
      <c r="B1577" s="13">
        <v>936</v>
      </c>
      <c r="C1577" s="23">
        <v>13</v>
      </c>
      <c r="D1577" s="14" t="s">
        <v>115</v>
      </c>
      <c r="E1577" s="15" t="s">
        <v>32</v>
      </c>
      <c r="F1577" s="14" t="s">
        <v>50</v>
      </c>
      <c r="G1577" s="103">
        <f>G1578</f>
        <v>17367.900000000001</v>
      </c>
      <c r="H1577" s="137"/>
      <c r="I1577" s="138"/>
      <c r="J1577" s="137"/>
      <c r="K1577" s="80"/>
      <c r="L1577" s="79"/>
      <c r="M1577" s="79"/>
      <c r="AG1577" s="79"/>
      <c r="AH1577" s="79"/>
      <c r="DT1577" s="99">
        <f t="shared" si="27"/>
        <v>0</v>
      </c>
    </row>
    <row r="1578" spans="1:125" x14ac:dyDescent="0.3">
      <c r="A1578" s="143" t="s">
        <v>409</v>
      </c>
      <c r="B1578" s="13">
        <v>936</v>
      </c>
      <c r="C1578" s="23">
        <v>13</v>
      </c>
      <c r="D1578" s="14" t="s">
        <v>115</v>
      </c>
      <c r="E1578" s="15" t="s">
        <v>44</v>
      </c>
      <c r="F1578" s="14" t="s">
        <v>50</v>
      </c>
      <c r="G1578" s="103">
        <f>G1579</f>
        <v>17367.900000000001</v>
      </c>
      <c r="H1578" s="137"/>
      <c r="I1578" s="138"/>
      <c r="J1578" s="137"/>
      <c r="K1578" s="80"/>
      <c r="L1578" s="79"/>
      <c r="M1578" s="79"/>
      <c r="AG1578" s="79"/>
      <c r="AH1578" s="79"/>
      <c r="DT1578" s="99">
        <f t="shared" si="27"/>
        <v>0</v>
      </c>
    </row>
    <row r="1579" spans="1:125" ht="22.5" customHeight="1" x14ac:dyDescent="0.3">
      <c r="A1579" s="143" t="s">
        <v>409</v>
      </c>
      <c r="B1579" s="13">
        <v>936</v>
      </c>
      <c r="C1579" s="23">
        <v>13</v>
      </c>
      <c r="D1579" s="14" t="s">
        <v>115</v>
      </c>
      <c r="E1579" s="15" t="s">
        <v>44</v>
      </c>
      <c r="F1579" s="14" t="s">
        <v>50</v>
      </c>
      <c r="G1579" s="103">
        <f>G1580</f>
        <v>17367.900000000001</v>
      </c>
      <c r="H1579" s="137"/>
      <c r="I1579" s="138"/>
      <c r="J1579" s="137"/>
      <c r="K1579" s="80"/>
      <c r="L1579" s="79"/>
      <c r="M1579" s="79"/>
      <c r="AG1579" s="79"/>
      <c r="AH1579" s="79"/>
      <c r="DT1579" s="99">
        <f t="shared" si="27"/>
        <v>0</v>
      </c>
    </row>
    <row r="1580" spans="1:125" x14ac:dyDescent="0.3">
      <c r="A1580" s="143" t="s">
        <v>188</v>
      </c>
      <c r="B1580" s="13">
        <v>936</v>
      </c>
      <c r="C1580" s="14" t="s">
        <v>189</v>
      </c>
      <c r="D1580" s="6" t="s">
        <v>115</v>
      </c>
      <c r="E1580" s="14" t="s">
        <v>192</v>
      </c>
      <c r="F1580" s="14" t="s">
        <v>50</v>
      </c>
      <c r="G1580" s="103">
        <f>G1581</f>
        <v>17367.900000000001</v>
      </c>
      <c r="H1580" s="137"/>
      <c r="I1580" s="138"/>
      <c r="J1580" s="137"/>
      <c r="K1580" s="80"/>
      <c r="L1580" s="79"/>
      <c r="M1580" s="79"/>
      <c r="AG1580" s="79"/>
      <c r="AH1580" s="79"/>
      <c r="DT1580" s="99">
        <f t="shared" si="27"/>
        <v>0</v>
      </c>
    </row>
    <row r="1581" spans="1:125" ht="37.5" x14ac:dyDescent="0.3">
      <c r="A1581" s="143" t="s">
        <v>190</v>
      </c>
      <c r="B1581" s="13">
        <v>936</v>
      </c>
      <c r="C1581" s="14" t="s">
        <v>189</v>
      </c>
      <c r="D1581" s="6" t="s">
        <v>115</v>
      </c>
      <c r="E1581" s="14" t="s">
        <v>192</v>
      </c>
      <c r="F1581" s="14" t="s">
        <v>191</v>
      </c>
      <c r="G1581" s="103">
        <f>DT1581</f>
        <v>17367.900000000001</v>
      </c>
      <c r="H1581" s="137"/>
      <c r="I1581" s="138"/>
      <c r="J1581" s="137"/>
      <c r="K1581" s="80"/>
      <c r="L1581" s="79"/>
      <c r="M1581" s="79"/>
      <c r="AG1581" s="79"/>
      <c r="AH1581" s="79"/>
      <c r="BE1581" s="226">
        <v>592.43561999999997</v>
      </c>
      <c r="BH1581" s="233">
        <f>62.36164+218.26575</f>
        <v>280.62738999999999</v>
      </c>
      <c r="BN1581" s="237">
        <v>8386</v>
      </c>
      <c r="BX1581" s="151">
        <v>103.6</v>
      </c>
      <c r="CL1581" s="194">
        <v>33.9</v>
      </c>
      <c r="CS1581" s="264">
        <v>12867.9</v>
      </c>
      <c r="DH1581" s="194">
        <v>-1400</v>
      </c>
      <c r="DR1581" s="99">
        <v>17367.900000000001</v>
      </c>
      <c r="DT1581" s="99">
        <f t="shared" si="27"/>
        <v>17367.900000000001</v>
      </c>
    </row>
    <row r="1582" spans="1:125" ht="56.25" x14ac:dyDescent="0.3">
      <c r="A1582" s="206" t="s">
        <v>671</v>
      </c>
      <c r="B1582" s="18" t="s">
        <v>670</v>
      </c>
      <c r="C1582" s="11" t="s">
        <v>112</v>
      </c>
      <c r="D1582" s="11" t="s">
        <v>112</v>
      </c>
      <c r="E1582" s="11" t="s">
        <v>49</v>
      </c>
      <c r="F1582" s="11" t="s">
        <v>50</v>
      </c>
      <c r="G1582" s="71">
        <f>G1583</f>
        <v>1364.1</v>
      </c>
      <c r="H1582" s="116"/>
      <c r="I1582" s="117"/>
      <c r="J1582" s="116"/>
      <c r="K1582" s="99">
        <f>SUM(K9:K1555)</f>
        <v>27471.9</v>
      </c>
      <c r="L1582" s="100">
        <f>SUM(L9:L1555)</f>
        <v>1.0331291377951857E-11</v>
      </c>
      <c r="M1582" s="100">
        <f>SUM(M9:M1570)</f>
        <v>21018.023000000005</v>
      </c>
      <c r="N1582" s="106">
        <f>SUM(N9:N1570)</f>
        <v>853</v>
      </c>
      <c r="O1582" s="106">
        <f>SUM(O9:O1570)</f>
        <v>30031.9</v>
      </c>
      <c r="W1582">
        <f>SUM(W9:W1570)</f>
        <v>33574.6</v>
      </c>
      <c r="X1582">
        <f>SUM(X9:X1570)</f>
        <v>2020</v>
      </c>
      <c r="Y1582">
        <f>SUM(Y9:Y1570)</f>
        <v>138.60000000000002</v>
      </c>
      <c r="Z1582">
        <f>SUM(Z9:Z1570)</f>
        <v>0</v>
      </c>
      <c r="AC1582">
        <f t="shared" ref="AC1582:AI1582" si="28">SUM(AC9:AC1570)</f>
        <v>6009.9999999999991</v>
      </c>
      <c r="AD1582">
        <f t="shared" si="28"/>
        <v>0</v>
      </c>
      <c r="AE1582" s="109">
        <f t="shared" si="28"/>
        <v>1.4210854715202004E-14</v>
      </c>
      <c r="AF1582" s="109">
        <f t="shared" si="28"/>
        <v>0</v>
      </c>
      <c r="AG1582" s="79">
        <f t="shared" si="28"/>
        <v>15681.468999999988</v>
      </c>
      <c r="AH1582" s="101">
        <f t="shared" si="28"/>
        <v>-10494.350000000004</v>
      </c>
      <c r="AI1582" s="79">
        <f t="shared" si="28"/>
        <v>0</v>
      </c>
      <c r="AJ1582" s="79"/>
      <c r="DT1582" s="99">
        <f t="shared" si="27"/>
        <v>0</v>
      </c>
    </row>
    <row r="1583" spans="1:125" x14ac:dyDescent="0.3">
      <c r="A1583" s="205" t="s">
        <v>114</v>
      </c>
      <c r="B1583" s="12">
        <v>947</v>
      </c>
      <c r="C1583" s="9" t="s">
        <v>115</v>
      </c>
      <c r="D1583" s="9" t="s">
        <v>112</v>
      </c>
      <c r="E1583" s="9" t="s">
        <v>49</v>
      </c>
      <c r="F1583" s="9" t="s">
        <v>50</v>
      </c>
      <c r="G1583" s="68">
        <f>G1584</f>
        <v>1364.1</v>
      </c>
      <c r="H1583" s="116"/>
      <c r="I1583" s="117"/>
      <c r="J1583" s="116"/>
      <c r="K1583">
        <f>SUM(K494:K1570)</f>
        <v>24314.7</v>
      </c>
      <c r="L1583">
        <f>SUM(L494:L1570)</f>
        <v>-37347.3364</v>
      </c>
      <c r="M1583">
        <f>SUM(M494:M1570)</f>
        <v>17058.258000000002</v>
      </c>
      <c r="T1583" s="109">
        <f>SUM(T495:T1570)</f>
        <v>20753.358640000002</v>
      </c>
      <c r="U1583" s="109">
        <f>SUM(U495:U1570)</f>
        <v>-225.15999999999997</v>
      </c>
      <c r="V1583" s="109">
        <f>T1583+U1583</f>
        <v>20528.198640000002</v>
      </c>
      <c r="W1583">
        <f>SUM(W494:W1570)</f>
        <v>30015</v>
      </c>
      <c r="DT1583" s="99">
        <f t="shared" si="27"/>
        <v>0</v>
      </c>
    </row>
    <row r="1584" spans="1:125" ht="56.25" x14ac:dyDescent="0.3">
      <c r="A1584" s="155" t="s">
        <v>118</v>
      </c>
      <c r="B1584" s="12">
        <v>947</v>
      </c>
      <c r="C1584" s="9" t="s">
        <v>115</v>
      </c>
      <c r="D1584" s="9" t="s">
        <v>119</v>
      </c>
      <c r="E1584" s="9" t="s">
        <v>49</v>
      </c>
      <c r="F1584" s="19" t="s">
        <v>50</v>
      </c>
      <c r="G1584" s="68">
        <f>G1585</f>
        <v>1364.1</v>
      </c>
      <c r="H1584" s="116"/>
      <c r="I1584" s="117"/>
      <c r="J1584" s="116"/>
      <c r="K1584" s="81">
        <f>SUM(K19:K377)</f>
        <v>2608.1999999999998</v>
      </c>
      <c r="L1584" s="81">
        <f>SUM(L19:L377)</f>
        <v>37347.336400000007</v>
      </c>
      <c r="M1584" s="81">
        <f>SUM(M19:M377)</f>
        <v>2661.7539999999999</v>
      </c>
      <c r="T1584">
        <f>SUM(T20:T377)</f>
        <v>1322.9413600000003</v>
      </c>
      <c r="U1584">
        <f>SUM(U20:U377)</f>
        <v>135.16</v>
      </c>
      <c r="V1584" s="109">
        <f t="shared" ref="V1584:V1586" si="29">T1584+U1584</f>
        <v>1458.1013600000003</v>
      </c>
      <c r="W1584">
        <f>SUM(W20:W377)</f>
        <v>3359.6</v>
      </c>
      <c r="DT1584" s="99">
        <f t="shared" si="27"/>
        <v>0</v>
      </c>
    </row>
    <row r="1585" spans="1:124" ht="56.25" x14ac:dyDescent="0.3">
      <c r="A1585" s="156" t="s">
        <v>413</v>
      </c>
      <c r="B1585" s="13">
        <v>947</v>
      </c>
      <c r="C1585" s="14" t="s">
        <v>115</v>
      </c>
      <c r="D1585" s="14" t="s">
        <v>119</v>
      </c>
      <c r="E1585" s="36" t="s">
        <v>397</v>
      </c>
      <c r="F1585" s="14" t="s">
        <v>50</v>
      </c>
      <c r="G1585" s="57">
        <f>G1586</f>
        <v>1364.1</v>
      </c>
      <c r="H1585" s="116"/>
      <c r="I1585" s="117"/>
      <c r="J1585" s="116"/>
      <c r="K1585" s="81">
        <f>SUM(K385:K433)</f>
        <v>0</v>
      </c>
      <c r="L1585" s="81">
        <f>SUM(L385:L433)</f>
        <v>0</v>
      </c>
      <c r="M1585" s="81">
        <f>SUM(M385:M433)</f>
        <v>1100</v>
      </c>
      <c r="T1585">
        <f>SUM(T386:T433)</f>
        <v>0</v>
      </c>
      <c r="U1585">
        <f>SUM(U386:U433)</f>
        <v>50</v>
      </c>
      <c r="V1585" s="109">
        <f t="shared" si="29"/>
        <v>50</v>
      </c>
      <c r="DT1585" s="99">
        <f t="shared" si="27"/>
        <v>0</v>
      </c>
    </row>
    <row r="1586" spans="1:124" ht="75" x14ac:dyDescent="0.3">
      <c r="A1586" s="143" t="s">
        <v>103</v>
      </c>
      <c r="B1586" s="13">
        <v>947</v>
      </c>
      <c r="C1586" s="14" t="s">
        <v>115</v>
      </c>
      <c r="D1586" s="14" t="s">
        <v>119</v>
      </c>
      <c r="E1586" s="36" t="s">
        <v>503</v>
      </c>
      <c r="F1586" s="14" t="s">
        <v>50</v>
      </c>
      <c r="G1586" s="57">
        <f>G1587+G1589</f>
        <v>1364.1</v>
      </c>
      <c r="H1586" s="116"/>
      <c r="I1586" s="117"/>
      <c r="J1586" s="116"/>
      <c r="K1586" s="81">
        <f>SUM(K442:K484)</f>
        <v>549</v>
      </c>
      <c r="L1586" s="81">
        <f>SUM(L442:L484)</f>
        <v>0</v>
      </c>
      <c r="M1586" s="81">
        <f>SUM(M442:M484)</f>
        <v>198.011</v>
      </c>
      <c r="T1586">
        <f>SUM(T434:T484)</f>
        <v>0</v>
      </c>
      <c r="U1586">
        <f>SUM(U434:U484)</f>
        <v>40</v>
      </c>
      <c r="V1586" s="109">
        <f t="shared" si="29"/>
        <v>40</v>
      </c>
      <c r="W1586">
        <f>SUM(W442:W484)</f>
        <v>200</v>
      </c>
      <c r="DT1586" s="99">
        <f t="shared" si="27"/>
        <v>0</v>
      </c>
    </row>
    <row r="1587" spans="1:124" ht="37.5" x14ac:dyDescent="0.3">
      <c r="A1587" s="143" t="s">
        <v>105</v>
      </c>
      <c r="B1587" s="13">
        <v>947</v>
      </c>
      <c r="C1587" s="14" t="s">
        <v>115</v>
      </c>
      <c r="D1587" s="14" t="s">
        <v>119</v>
      </c>
      <c r="E1587" s="15" t="s">
        <v>398</v>
      </c>
      <c r="F1587" s="15" t="s">
        <v>50</v>
      </c>
      <c r="G1587" s="57">
        <f>G1588</f>
        <v>1364.1</v>
      </c>
      <c r="H1587" s="116"/>
      <c r="I1587" s="117"/>
      <c r="J1587" s="116"/>
      <c r="T1587" s="109">
        <f>SUM(T1583:T1586)</f>
        <v>22076.300000000003</v>
      </c>
      <c r="U1587" s="109">
        <f>SUM(U1583:U1586)</f>
        <v>0</v>
      </c>
      <c r="V1587" s="109">
        <f>SUM(V1583:V1586)</f>
        <v>22076.300000000003</v>
      </c>
      <c r="W1587">
        <f>SUM(W1583:W1586)</f>
        <v>33574.6</v>
      </c>
      <c r="DT1587" s="99">
        <f t="shared" si="27"/>
        <v>0</v>
      </c>
    </row>
    <row r="1588" spans="1:124" ht="93.75" x14ac:dyDescent="0.3">
      <c r="A1588" s="143" t="s">
        <v>56</v>
      </c>
      <c r="B1588" s="13">
        <v>947</v>
      </c>
      <c r="C1588" s="14" t="s">
        <v>115</v>
      </c>
      <c r="D1588" s="14" t="s">
        <v>119</v>
      </c>
      <c r="E1588" s="15" t="s">
        <v>398</v>
      </c>
      <c r="F1588" s="15" t="s">
        <v>57</v>
      </c>
      <c r="G1588" s="57">
        <f>DT1588</f>
        <v>1364.1</v>
      </c>
      <c r="H1588" s="116">
        <v>996.8</v>
      </c>
      <c r="I1588" s="117"/>
      <c r="J1588" s="116"/>
      <c r="BM1588" s="100">
        <v>1025.7</v>
      </c>
      <c r="CP1588" s="259">
        <v>-49</v>
      </c>
      <c r="CS1588" s="264">
        <f>1100.1-0.1</f>
        <v>1100</v>
      </c>
      <c r="DO1588" s="274">
        <v>1364.1</v>
      </c>
      <c r="DT1588" s="99">
        <f t="shared" si="27"/>
        <v>1364.1</v>
      </c>
    </row>
    <row r="1589" spans="1:124" ht="37.5" hidden="1" x14ac:dyDescent="0.3">
      <c r="A1589" s="162" t="s">
        <v>374</v>
      </c>
      <c r="B1589" s="13">
        <v>903</v>
      </c>
      <c r="C1589" s="14" t="s">
        <v>115</v>
      </c>
      <c r="D1589" s="14" t="s">
        <v>119</v>
      </c>
      <c r="E1589" s="15" t="s">
        <v>517</v>
      </c>
      <c r="F1589" s="15" t="s">
        <v>50</v>
      </c>
      <c r="G1589" s="57">
        <f>G1590</f>
        <v>0</v>
      </c>
      <c r="H1589" s="116"/>
      <c r="I1589" s="117"/>
      <c r="J1589" s="116"/>
      <c r="DT1589" s="99">
        <f t="shared" si="27"/>
        <v>0</v>
      </c>
    </row>
    <row r="1590" spans="1:124" ht="93.75" hidden="1" x14ac:dyDescent="0.3">
      <c r="A1590" s="143" t="s">
        <v>56</v>
      </c>
      <c r="B1590" s="13">
        <v>903</v>
      </c>
      <c r="C1590" s="14" t="s">
        <v>115</v>
      </c>
      <c r="D1590" s="14" t="s">
        <v>119</v>
      </c>
      <c r="E1590" s="15" t="s">
        <v>517</v>
      </c>
      <c r="F1590" s="15" t="s">
        <v>57</v>
      </c>
      <c r="G1590" s="57">
        <v>0</v>
      </c>
      <c r="H1590" s="116"/>
      <c r="I1590" s="117"/>
      <c r="J1590" s="116"/>
      <c r="AK1590" s="79">
        <v>793.1</v>
      </c>
      <c r="DT1590" s="99">
        <f t="shared" si="27"/>
        <v>0</v>
      </c>
    </row>
    <row r="1591" spans="1:124" x14ac:dyDescent="0.3">
      <c r="E1591" s="4"/>
      <c r="F1591" s="3"/>
      <c r="G1591" s="148"/>
      <c r="H1591" s="146">
        <f>SUM(H9:H1590)</f>
        <v>463543.52</v>
      </c>
      <c r="I1591" s="146">
        <f>SUM(I9:I1590)</f>
        <v>463478.57999999996</v>
      </c>
      <c r="J1591" s="146">
        <f>SUM(J9:J1590)</f>
        <v>1515.8999999999999</v>
      </c>
      <c r="AK1591" s="79">
        <f>SUM(AK9:AK1590)</f>
        <v>910922.44999999972</v>
      </c>
      <c r="AN1591" s="150">
        <f t="shared" ref="AN1591:AT1591" si="30">SUM(AN9:AN1588)</f>
        <v>21329.399999999998</v>
      </c>
      <c r="AO1591" s="150">
        <f t="shared" si="30"/>
        <v>19058</v>
      </c>
      <c r="AP1591" s="151">
        <f t="shared" si="30"/>
        <v>117193.177</v>
      </c>
      <c r="AQ1591" s="151">
        <f t="shared" si="30"/>
        <v>9148.8230000000021</v>
      </c>
      <c r="AR1591" s="151">
        <f t="shared" si="30"/>
        <v>0</v>
      </c>
      <c r="AS1591" s="194">
        <f t="shared" si="30"/>
        <v>20137.218000000001</v>
      </c>
      <c r="AT1591" s="194">
        <f t="shared" si="30"/>
        <v>802.98199999999997</v>
      </c>
      <c r="AV1591" s="194">
        <f t="shared" ref="AV1591:BE1591" si="31">SUM(AV9:AV1588)</f>
        <v>1391.2779999999996</v>
      </c>
      <c r="AW1591" s="101">
        <f t="shared" si="31"/>
        <v>0</v>
      </c>
      <c r="AX1591" s="101">
        <f t="shared" si="31"/>
        <v>1034.3219999999997</v>
      </c>
      <c r="AY1591" s="226">
        <f t="shared" si="31"/>
        <v>689.91699999999992</v>
      </c>
      <c r="AZ1591" s="226">
        <f t="shared" si="31"/>
        <v>8148</v>
      </c>
      <c r="BA1591" s="226">
        <f t="shared" si="31"/>
        <v>4.3021142204224816E-16</v>
      </c>
      <c r="BB1591" s="226">
        <f t="shared" si="31"/>
        <v>37476</v>
      </c>
      <c r="BC1591" s="226">
        <f t="shared" si="31"/>
        <v>166.5</v>
      </c>
      <c r="BD1591" s="226">
        <f t="shared" si="31"/>
        <v>79</v>
      </c>
      <c r="BE1591" s="226">
        <f t="shared" si="31"/>
        <v>3521.26</v>
      </c>
      <c r="BF1591" s="109">
        <f>BC1591+BD1591+BE1591</f>
        <v>3766.76</v>
      </c>
      <c r="BG1591" s="233">
        <f>SUM(BG9:BG1588)</f>
        <v>2051.5</v>
      </c>
      <c r="BH1591" s="233">
        <f>SUM(BH9:BH1588)</f>
        <v>5.6843418860808015E-13</v>
      </c>
      <c r="BI1591" s="233">
        <f>SUM(BI9:BI1588)</f>
        <v>0</v>
      </c>
      <c r="BJ1591" s="194">
        <f>SUM(BJ19:BJ1588)</f>
        <v>34.999999999999964</v>
      </c>
      <c r="BK1591" s="226">
        <f t="shared" ref="BK1591:BP1591" si="32">SUM(BK9:BK1588)</f>
        <v>77756.120000000024</v>
      </c>
      <c r="BL1591" s="194">
        <f t="shared" si="32"/>
        <v>-5679.7000000000007</v>
      </c>
      <c r="BM1591" s="237">
        <f t="shared" si="32"/>
        <v>391504.9420000001</v>
      </c>
      <c r="BN1591" s="237">
        <f t="shared" si="32"/>
        <v>93286.14</v>
      </c>
      <c r="BO1591" s="237">
        <f t="shared" si="32"/>
        <v>573200.21</v>
      </c>
      <c r="BP1591" s="237">
        <f t="shared" si="32"/>
        <v>1852.5000000000002</v>
      </c>
      <c r="BQ1591" s="101">
        <f>BM1591+BN1591+BO1591+BP1591</f>
        <v>1059843.7920000001</v>
      </c>
      <c r="BT1591" s="151">
        <f>SUM(BT9:BT1588)</f>
        <v>67109.73</v>
      </c>
      <c r="BU1591" s="151">
        <f>SUM(BU9:BU1588)</f>
        <v>2637.4660000000003</v>
      </c>
      <c r="BX1591" s="151">
        <f>SUM(BX9:BX1588)</f>
        <v>15000</v>
      </c>
      <c r="BY1591" s="151">
        <f>SUM(BY9:BY1588)</f>
        <v>19800.700000000004</v>
      </c>
      <c r="CA1591" s="226">
        <f t="shared" ref="CA1591:CL1591" si="33">SUM(CA9:CA1588)</f>
        <v>13934.447</v>
      </c>
      <c r="CB1591" s="226">
        <f t="shared" si="33"/>
        <v>3400.0000000000005</v>
      </c>
      <c r="CC1591" s="245">
        <f t="shared" si="33"/>
        <v>241779.55</v>
      </c>
      <c r="CD1591" s="226">
        <f t="shared" si="33"/>
        <v>12850.000000000002</v>
      </c>
      <c r="CE1591" s="194">
        <f t="shared" si="33"/>
        <v>2098.0329999999999</v>
      </c>
      <c r="CF1591" s="194">
        <f t="shared" si="33"/>
        <v>7855.0000000000009</v>
      </c>
      <c r="CG1591" s="194">
        <f t="shared" si="33"/>
        <v>5583.1</v>
      </c>
      <c r="CH1591" s="258">
        <f t="shared" si="33"/>
        <v>10928.2</v>
      </c>
      <c r="CI1591" s="194">
        <f t="shared" si="33"/>
        <v>35707.250000000007</v>
      </c>
      <c r="CJ1591" s="194">
        <f t="shared" si="33"/>
        <v>8393</v>
      </c>
      <c r="CK1591" s="194">
        <f t="shared" si="33"/>
        <v>149.9</v>
      </c>
      <c r="CL1591" s="194">
        <f t="shared" si="33"/>
        <v>1635.0000000000002</v>
      </c>
      <c r="CO1591" s="259">
        <f t="shared" ref="CO1591:CX1591" si="34">SUM(CO9:CO1588)</f>
        <v>22481.7</v>
      </c>
      <c r="CP1591" s="259">
        <f t="shared" si="34"/>
        <v>11599.999999999998</v>
      </c>
      <c r="CQ1591" s="99">
        <f t="shared" si="34"/>
        <v>548925.14999999991</v>
      </c>
      <c r="CR1591" s="99">
        <f t="shared" si="34"/>
        <v>57862.8</v>
      </c>
      <c r="CS1591" s="99">
        <f t="shared" si="34"/>
        <v>497108.75</v>
      </c>
      <c r="CT1591" s="258">
        <f t="shared" si="34"/>
        <v>24522.641</v>
      </c>
      <c r="CU1591" s="258">
        <f t="shared" si="34"/>
        <v>32342.291000000001</v>
      </c>
      <c r="CV1591" s="268">
        <f t="shared" si="34"/>
        <v>21145.399999999998</v>
      </c>
      <c r="CW1591" s="268">
        <f t="shared" si="34"/>
        <v>61194.8</v>
      </c>
      <c r="CX1591" s="270">
        <f t="shared" si="34"/>
        <v>0</v>
      </c>
      <c r="CY1591" s="194">
        <f>SUM(CY19:CY1588)</f>
        <v>9200</v>
      </c>
      <c r="CZ1591" s="194">
        <f t="shared" ref="CZ1591:DE1591" si="35">SUM(CZ9:CZ1588)</f>
        <v>24800.100000000002</v>
      </c>
      <c r="DA1591" s="194">
        <f t="shared" si="35"/>
        <v>1.1368683772161603E-13</v>
      </c>
      <c r="DB1591" s="194">
        <f t="shared" si="35"/>
        <v>-24109.649999999998</v>
      </c>
      <c r="DC1591" s="194">
        <f t="shared" si="35"/>
        <v>21100</v>
      </c>
      <c r="DD1591" s="194">
        <f t="shared" si="35"/>
        <v>0</v>
      </c>
      <c r="DE1591" s="194">
        <f t="shared" si="35"/>
        <v>0</v>
      </c>
      <c r="DF1591" s="194">
        <f>SUM(DF20:DF1588)</f>
        <v>4222.2999999999984</v>
      </c>
      <c r="DG1591" s="194">
        <f>SUM(DG20:DG1588)</f>
        <v>417028.4</v>
      </c>
      <c r="DH1591" s="194">
        <f t="shared" ref="DH1591:DM1591" si="36">SUM(DH9:DH1588)</f>
        <v>706.69999999999982</v>
      </c>
      <c r="DI1591" s="194">
        <f t="shared" si="36"/>
        <v>28163.599999999999</v>
      </c>
      <c r="DJ1591" s="194">
        <f t="shared" si="36"/>
        <v>0</v>
      </c>
      <c r="DK1591" s="270">
        <f t="shared" si="36"/>
        <v>920.5</v>
      </c>
      <c r="DL1591" s="270">
        <f t="shared" si="36"/>
        <v>169.99999999999983</v>
      </c>
      <c r="DM1591" s="270">
        <f t="shared" si="36"/>
        <v>1.8873791418627661E-15</v>
      </c>
      <c r="DN1591" s="274">
        <f t="shared" ref="DN1591:DT1591" si="37">SUM(DN9:DN1588)</f>
        <v>906717.5199999999</v>
      </c>
      <c r="DO1591" s="274">
        <f t="shared" si="37"/>
        <v>386783.4</v>
      </c>
      <c r="DP1591" s="274">
        <f t="shared" si="37"/>
        <v>117140.40000000002</v>
      </c>
      <c r="DQ1591" s="274">
        <f t="shared" si="37"/>
        <v>5869.0000000000009</v>
      </c>
      <c r="DR1591" s="274">
        <f t="shared" si="37"/>
        <v>73694.100000000006</v>
      </c>
      <c r="DS1591" s="99">
        <f t="shared" si="37"/>
        <v>51541.900000000009</v>
      </c>
      <c r="DT1591" s="281">
        <f t="shared" si="37"/>
        <v>1541746.3199999994</v>
      </c>
    </row>
    <row r="1592" spans="1:124" x14ac:dyDescent="0.3">
      <c r="E1592" s="4"/>
      <c r="F1592" s="3"/>
      <c r="G1592" s="148"/>
      <c r="H1592" s="139"/>
      <c r="I1592" s="140"/>
      <c r="J1592" s="139"/>
      <c r="CS1592" s="264">
        <f>1104947.7-CQ1591-CR1591-CS1591</f>
        <v>1051.0000000000582</v>
      </c>
    </row>
    <row r="1593" spans="1:124" x14ac:dyDescent="0.3">
      <c r="E1593" s="4"/>
      <c r="F1593" s="3"/>
      <c r="G1593" s="148"/>
      <c r="H1593" s="139"/>
      <c r="I1593" s="140"/>
      <c r="J1593" s="139"/>
    </row>
    <row r="1594" spans="1:124" x14ac:dyDescent="0.3">
      <c r="E1594" s="4"/>
      <c r="F1594" s="3"/>
      <c r="G1594" s="148"/>
      <c r="H1594" s="139"/>
      <c r="I1594" s="140"/>
      <c r="J1594" s="139"/>
    </row>
    <row r="1595" spans="1:124" x14ac:dyDescent="0.3">
      <c r="E1595" s="4"/>
      <c r="F1595" s="3"/>
      <c r="G1595" s="148"/>
      <c r="H1595" s="139"/>
      <c r="I1595" s="140"/>
      <c r="J1595" s="139"/>
    </row>
    <row r="1596" spans="1:124" x14ac:dyDescent="0.3">
      <c r="E1596" s="4"/>
      <c r="F1596" s="3"/>
      <c r="G1596" s="148"/>
      <c r="H1596" s="139"/>
      <c r="I1596" s="140"/>
      <c r="J1596" s="139"/>
    </row>
    <row r="1597" spans="1:124" x14ac:dyDescent="0.3">
      <c r="E1597" s="4"/>
      <c r="F1597" s="3"/>
      <c r="G1597" s="148"/>
      <c r="H1597" s="139"/>
      <c r="I1597" s="140"/>
      <c r="J1597" s="139"/>
    </row>
    <row r="1598" spans="1:124" x14ac:dyDescent="0.3">
      <c r="E1598" s="4"/>
      <c r="F1598" s="3"/>
      <c r="G1598" s="148"/>
      <c r="H1598" s="139"/>
      <c r="I1598" s="140"/>
      <c r="J1598" s="139"/>
    </row>
    <row r="1599" spans="1:124" x14ac:dyDescent="0.3">
      <c r="E1599" s="4"/>
      <c r="F1599" s="3"/>
      <c r="G1599" s="148"/>
      <c r="H1599" s="139"/>
      <c r="I1599" s="140"/>
      <c r="J1599" s="139"/>
    </row>
    <row r="1600" spans="1:124" x14ac:dyDescent="0.3">
      <c r="E1600" s="4"/>
      <c r="F1600" s="3"/>
      <c r="G1600" s="148"/>
      <c r="H1600" s="139"/>
      <c r="I1600" s="140"/>
      <c r="J1600" s="139"/>
    </row>
    <row r="1601" spans="5:10" x14ac:dyDescent="0.3">
      <c r="E1601" s="4"/>
      <c r="F1601" s="3"/>
      <c r="G1601" s="148"/>
      <c r="H1601" s="139"/>
      <c r="I1601" s="140"/>
      <c r="J1601" s="139"/>
    </row>
    <row r="1602" spans="5:10" x14ac:dyDescent="0.3">
      <c r="E1602" s="4"/>
      <c r="F1602" s="3"/>
      <c r="G1602" s="148"/>
      <c r="H1602" s="139"/>
      <c r="I1602" s="140"/>
      <c r="J1602" s="139"/>
    </row>
    <row r="1603" spans="5:10" x14ac:dyDescent="0.3">
      <c r="E1603" s="4"/>
      <c r="F1603" s="3"/>
      <c r="G1603" s="148"/>
      <c r="H1603" s="139"/>
      <c r="I1603" s="140"/>
      <c r="J1603" s="139"/>
    </row>
    <row r="1604" spans="5:10" x14ac:dyDescent="0.3">
      <c r="E1604" s="4"/>
      <c r="F1604" s="3"/>
      <c r="G1604" s="148"/>
      <c r="H1604" s="139"/>
      <c r="I1604" s="140"/>
      <c r="J1604" s="139"/>
    </row>
    <row r="1605" spans="5:10" x14ac:dyDescent="0.3">
      <c r="E1605" s="4"/>
      <c r="F1605" s="3"/>
      <c r="G1605" s="148"/>
      <c r="H1605" s="139"/>
      <c r="I1605" s="140"/>
      <c r="J1605" s="139"/>
    </row>
    <row r="1606" spans="5:10" x14ac:dyDescent="0.3">
      <c r="E1606" s="4"/>
      <c r="F1606" s="3"/>
      <c r="G1606" s="148"/>
      <c r="H1606" s="139"/>
      <c r="I1606" s="140"/>
      <c r="J1606" s="139"/>
    </row>
    <row r="1607" spans="5:10" x14ac:dyDescent="0.3">
      <c r="E1607" s="4"/>
      <c r="F1607" s="3"/>
      <c r="G1607" s="148"/>
      <c r="H1607" s="139"/>
      <c r="I1607" s="140"/>
      <c r="J1607" s="139"/>
    </row>
    <row r="1608" spans="5:10" x14ac:dyDescent="0.3">
      <c r="E1608" s="4"/>
      <c r="F1608" s="3"/>
      <c r="G1608" s="148"/>
      <c r="H1608" s="139"/>
      <c r="I1608" s="140"/>
      <c r="J1608" s="139"/>
    </row>
    <row r="1609" spans="5:10" x14ac:dyDescent="0.3">
      <c r="E1609" s="4"/>
      <c r="F1609" s="3"/>
      <c r="G1609" s="148"/>
      <c r="H1609" s="139"/>
      <c r="I1609" s="140"/>
      <c r="J1609" s="139"/>
    </row>
    <row r="1610" spans="5:10" x14ac:dyDescent="0.3">
      <c r="E1610" s="4"/>
      <c r="F1610" s="3"/>
      <c r="G1610" s="148"/>
      <c r="H1610" s="139"/>
      <c r="I1610" s="140"/>
      <c r="J1610" s="139"/>
    </row>
    <row r="1611" spans="5:10" x14ac:dyDescent="0.3">
      <c r="E1611" s="4"/>
      <c r="F1611" s="3"/>
      <c r="G1611" s="148"/>
      <c r="H1611" s="139"/>
      <c r="I1611" s="140"/>
      <c r="J1611" s="139"/>
    </row>
    <row r="1612" spans="5:10" x14ac:dyDescent="0.3">
      <c r="E1612" s="4"/>
      <c r="F1612" s="3"/>
      <c r="G1612" s="148"/>
      <c r="H1612" s="139"/>
      <c r="I1612" s="140"/>
      <c r="J1612" s="139"/>
    </row>
    <row r="1613" spans="5:10" x14ac:dyDescent="0.3">
      <c r="E1613" s="4"/>
      <c r="F1613" s="3"/>
      <c r="G1613" s="148"/>
      <c r="H1613" s="139"/>
      <c r="I1613" s="140"/>
      <c r="J1613" s="139"/>
    </row>
    <row r="1614" spans="5:10" x14ac:dyDescent="0.3">
      <c r="E1614" s="4"/>
      <c r="F1614" s="3"/>
      <c r="G1614" s="148"/>
      <c r="H1614" s="139"/>
      <c r="I1614" s="140"/>
      <c r="J1614" s="139"/>
    </row>
    <row r="1615" spans="5:10" x14ac:dyDescent="0.3">
      <c r="E1615" s="4"/>
      <c r="F1615" s="3"/>
      <c r="G1615" s="148"/>
      <c r="H1615" s="139"/>
      <c r="I1615" s="140"/>
      <c r="J1615" s="139"/>
    </row>
    <row r="1616" spans="5:10" x14ac:dyDescent="0.3">
      <c r="E1616" s="4"/>
      <c r="F1616" s="3"/>
      <c r="G1616" s="148"/>
      <c r="H1616" s="139"/>
      <c r="I1616" s="140"/>
      <c r="J1616" s="139"/>
    </row>
    <row r="1617" spans="5:10" x14ac:dyDescent="0.3">
      <c r="E1617" s="4"/>
      <c r="F1617" s="3"/>
      <c r="G1617" s="148"/>
      <c r="H1617" s="139"/>
      <c r="I1617" s="140"/>
      <c r="J1617" s="139"/>
    </row>
    <row r="1618" spans="5:10" x14ac:dyDescent="0.3">
      <c r="E1618" s="4"/>
      <c r="F1618" s="3"/>
      <c r="G1618" s="148"/>
      <c r="H1618" s="139"/>
      <c r="I1618" s="140"/>
      <c r="J1618" s="139"/>
    </row>
    <row r="1619" spans="5:10" x14ac:dyDescent="0.3">
      <c r="E1619" s="4"/>
      <c r="F1619" s="3"/>
      <c r="G1619" s="148"/>
      <c r="H1619" s="139"/>
      <c r="I1619" s="140"/>
      <c r="J1619" s="139"/>
    </row>
    <row r="1620" spans="5:10" x14ac:dyDescent="0.3">
      <c r="E1620" s="4"/>
      <c r="F1620" s="3"/>
      <c r="G1620" s="148"/>
      <c r="H1620" s="139"/>
      <c r="I1620" s="140"/>
      <c r="J1620" s="139"/>
    </row>
    <row r="1621" spans="5:10" x14ac:dyDescent="0.3">
      <c r="E1621" s="4"/>
      <c r="F1621" s="3"/>
      <c r="G1621" s="148"/>
      <c r="H1621" s="139"/>
      <c r="I1621" s="140"/>
      <c r="J1621" s="139"/>
    </row>
    <row r="1622" spans="5:10" x14ac:dyDescent="0.3">
      <c r="E1622" s="4"/>
      <c r="F1622" s="3"/>
      <c r="G1622" s="148"/>
      <c r="H1622" s="139"/>
      <c r="I1622" s="140"/>
      <c r="J1622" s="139"/>
    </row>
    <row r="1623" spans="5:10" x14ac:dyDescent="0.3">
      <c r="E1623" s="4"/>
      <c r="F1623" s="3"/>
      <c r="G1623" s="148"/>
      <c r="H1623" s="139"/>
      <c r="I1623" s="140"/>
      <c r="J1623" s="139"/>
    </row>
    <row r="1624" spans="5:10" x14ac:dyDescent="0.3">
      <c r="E1624" s="4"/>
      <c r="F1624" s="3"/>
      <c r="G1624" s="148"/>
      <c r="H1624" s="139"/>
      <c r="I1624" s="140"/>
      <c r="J1624" s="139"/>
    </row>
    <row r="1625" spans="5:10" x14ac:dyDescent="0.3">
      <c r="E1625" s="4"/>
      <c r="F1625" s="3"/>
      <c r="G1625" s="148"/>
      <c r="H1625" s="139"/>
      <c r="I1625" s="140"/>
      <c r="J1625" s="139"/>
    </row>
    <row r="1626" spans="5:10" x14ac:dyDescent="0.3">
      <c r="E1626" s="4"/>
      <c r="F1626" s="3"/>
      <c r="G1626" s="148"/>
      <c r="H1626" s="139"/>
      <c r="I1626" s="140"/>
      <c r="J1626" s="139"/>
    </row>
    <row r="1627" spans="5:10" x14ac:dyDescent="0.3">
      <c r="E1627" s="4"/>
      <c r="F1627" s="3"/>
      <c r="G1627" s="148"/>
      <c r="H1627" s="139"/>
      <c r="I1627" s="140"/>
      <c r="J1627" s="139"/>
    </row>
    <row r="1628" spans="5:10" x14ac:dyDescent="0.3">
      <c r="E1628" s="4"/>
      <c r="F1628" s="3"/>
      <c r="G1628" s="148"/>
      <c r="H1628" s="139"/>
      <c r="I1628" s="140"/>
      <c r="J1628" s="139"/>
    </row>
    <row r="1629" spans="5:10" x14ac:dyDescent="0.3">
      <c r="E1629" s="4"/>
      <c r="F1629" s="3"/>
      <c r="G1629" s="148"/>
      <c r="H1629" s="139"/>
      <c r="I1629" s="140"/>
      <c r="J1629" s="139"/>
    </row>
    <row r="1630" spans="5:10" x14ac:dyDescent="0.3">
      <c r="E1630" s="4"/>
      <c r="F1630" s="3"/>
      <c r="G1630" s="148"/>
      <c r="H1630" s="139"/>
      <c r="I1630" s="140"/>
      <c r="J1630" s="139"/>
    </row>
    <row r="1631" spans="5:10" x14ac:dyDescent="0.3">
      <c r="E1631" s="4"/>
      <c r="F1631" s="3"/>
      <c r="G1631" s="148"/>
      <c r="H1631" s="139"/>
      <c r="I1631" s="140"/>
      <c r="J1631" s="139"/>
    </row>
    <row r="1632" spans="5:10" x14ac:dyDescent="0.3">
      <c r="E1632" s="4"/>
      <c r="F1632" s="3"/>
      <c r="G1632" s="148"/>
      <c r="H1632" s="139"/>
      <c r="I1632" s="140"/>
      <c r="J1632" s="139"/>
    </row>
    <row r="1633" spans="5:10" x14ac:dyDescent="0.3">
      <c r="E1633" s="4"/>
      <c r="F1633" s="3"/>
      <c r="G1633" s="148"/>
      <c r="H1633" s="139"/>
      <c r="I1633" s="140"/>
      <c r="J1633" s="139"/>
    </row>
    <row r="1634" spans="5:10" x14ac:dyDescent="0.3">
      <c r="E1634" s="4"/>
      <c r="F1634" s="3"/>
      <c r="G1634" s="148"/>
      <c r="H1634" s="139"/>
      <c r="I1634" s="140"/>
      <c r="J1634" s="139"/>
    </row>
    <row r="1635" spans="5:10" x14ac:dyDescent="0.3">
      <c r="E1635" s="4"/>
      <c r="F1635" s="3"/>
      <c r="G1635" s="148"/>
      <c r="H1635" s="139"/>
      <c r="I1635" s="140"/>
      <c r="J1635" s="139"/>
    </row>
    <row r="1636" spans="5:10" x14ac:dyDescent="0.3">
      <c r="E1636" s="4"/>
      <c r="F1636" s="3"/>
      <c r="G1636" s="148"/>
      <c r="H1636" s="139"/>
      <c r="I1636" s="140"/>
      <c r="J1636" s="139"/>
    </row>
    <row r="1637" spans="5:10" x14ac:dyDescent="0.3">
      <c r="E1637" s="4"/>
      <c r="F1637" s="3"/>
      <c r="G1637" s="148"/>
      <c r="H1637" s="139"/>
      <c r="I1637" s="140"/>
      <c r="J1637" s="139"/>
    </row>
    <row r="1638" spans="5:10" x14ac:dyDescent="0.3">
      <c r="E1638" s="4"/>
      <c r="F1638" s="3"/>
      <c r="G1638" s="148"/>
      <c r="H1638" s="139"/>
      <c r="I1638" s="140"/>
      <c r="J1638" s="139"/>
    </row>
    <row r="1639" spans="5:10" x14ac:dyDescent="0.3">
      <c r="E1639" s="4"/>
      <c r="F1639" s="3"/>
      <c r="G1639" s="148"/>
      <c r="H1639" s="139"/>
      <c r="I1639" s="140"/>
      <c r="J1639" s="139"/>
    </row>
    <row r="1640" spans="5:10" x14ac:dyDescent="0.3">
      <c r="E1640" s="4"/>
      <c r="F1640" s="3"/>
      <c r="G1640" s="148"/>
      <c r="H1640" s="139"/>
      <c r="I1640" s="140"/>
      <c r="J1640" s="139"/>
    </row>
    <row r="1641" spans="5:10" x14ac:dyDescent="0.3">
      <c r="E1641" s="4"/>
      <c r="F1641" s="3"/>
      <c r="G1641" s="148"/>
      <c r="H1641" s="139"/>
      <c r="I1641" s="140"/>
      <c r="J1641" s="139"/>
    </row>
    <row r="1642" spans="5:10" x14ac:dyDescent="0.3">
      <c r="E1642" s="4"/>
      <c r="F1642" s="3"/>
      <c r="G1642" s="148"/>
      <c r="H1642" s="139"/>
      <c r="I1642" s="140"/>
      <c r="J1642" s="139"/>
    </row>
    <row r="1643" spans="5:10" x14ac:dyDescent="0.3">
      <c r="E1643" s="4"/>
      <c r="F1643" s="3"/>
      <c r="G1643" s="148"/>
      <c r="H1643" s="139"/>
      <c r="I1643" s="140"/>
      <c r="J1643" s="139"/>
    </row>
    <row r="1644" spans="5:10" x14ac:dyDescent="0.3">
      <c r="E1644" s="4"/>
      <c r="F1644" s="3"/>
      <c r="G1644" s="148"/>
      <c r="H1644" s="139"/>
      <c r="I1644" s="140"/>
      <c r="J1644" s="139"/>
    </row>
    <row r="1645" spans="5:10" x14ac:dyDescent="0.3">
      <c r="E1645" s="4"/>
      <c r="F1645" s="3"/>
      <c r="G1645" s="148"/>
      <c r="H1645" s="139"/>
      <c r="I1645" s="140"/>
      <c r="J1645" s="139"/>
    </row>
    <row r="1646" spans="5:10" x14ac:dyDescent="0.3">
      <c r="E1646" s="4"/>
      <c r="F1646" s="3"/>
      <c r="G1646" s="148"/>
      <c r="H1646" s="139"/>
      <c r="I1646" s="140"/>
      <c r="J1646" s="139"/>
    </row>
    <row r="1647" spans="5:10" x14ac:dyDescent="0.3">
      <c r="E1647" s="4"/>
      <c r="F1647" s="3"/>
      <c r="G1647" s="148"/>
      <c r="H1647" s="139"/>
      <c r="I1647" s="140"/>
      <c r="J1647" s="139"/>
    </row>
    <row r="1648" spans="5:10" x14ac:dyDescent="0.3">
      <c r="E1648" s="4"/>
      <c r="F1648" s="3"/>
      <c r="G1648" s="148"/>
      <c r="H1648" s="139"/>
      <c r="I1648" s="140"/>
      <c r="J1648" s="139"/>
    </row>
    <row r="1649" spans="5:10" x14ac:dyDescent="0.3">
      <c r="E1649" s="4"/>
      <c r="F1649" s="3"/>
      <c r="G1649" s="148"/>
      <c r="H1649" s="139"/>
      <c r="I1649" s="140"/>
      <c r="J1649" s="139"/>
    </row>
    <row r="1650" spans="5:10" x14ac:dyDescent="0.3">
      <c r="E1650" s="4"/>
      <c r="F1650" s="3"/>
      <c r="G1650" s="148"/>
      <c r="H1650" s="139"/>
      <c r="I1650" s="140"/>
      <c r="J1650" s="139"/>
    </row>
    <row r="1651" spans="5:10" x14ac:dyDescent="0.3">
      <c r="E1651" s="4"/>
      <c r="F1651" s="3"/>
      <c r="G1651" s="148"/>
      <c r="H1651" s="139"/>
      <c r="I1651" s="140"/>
      <c r="J1651" s="139"/>
    </row>
    <row r="1652" spans="5:10" x14ac:dyDescent="0.3">
      <c r="E1652" s="4"/>
      <c r="F1652" s="3"/>
      <c r="G1652" s="148"/>
      <c r="H1652" s="139"/>
      <c r="I1652" s="140"/>
      <c r="J1652" s="139"/>
    </row>
    <row r="1653" spans="5:10" x14ac:dyDescent="0.3">
      <c r="E1653" s="4"/>
      <c r="F1653" s="3"/>
      <c r="G1653" s="148"/>
      <c r="H1653" s="139"/>
      <c r="I1653" s="140"/>
      <c r="J1653" s="139"/>
    </row>
    <row r="1654" spans="5:10" x14ac:dyDescent="0.3">
      <c r="E1654" s="4"/>
      <c r="F1654" s="3"/>
      <c r="G1654" s="148"/>
      <c r="H1654" s="139"/>
      <c r="I1654" s="140"/>
      <c r="J1654" s="139"/>
    </row>
    <row r="1655" spans="5:10" x14ac:dyDescent="0.3">
      <c r="E1655" s="4"/>
      <c r="F1655" s="3"/>
      <c r="G1655" s="148"/>
      <c r="H1655" s="139"/>
      <c r="I1655" s="140"/>
      <c r="J1655" s="139"/>
    </row>
    <row r="1656" spans="5:10" x14ac:dyDescent="0.3">
      <c r="E1656" s="4"/>
      <c r="F1656" s="3"/>
      <c r="G1656" s="148"/>
      <c r="H1656" s="139"/>
      <c r="I1656" s="140"/>
      <c r="J1656" s="139"/>
    </row>
    <row r="1657" spans="5:10" x14ac:dyDescent="0.3">
      <c r="E1657" s="4"/>
      <c r="F1657" s="3"/>
      <c r="G1657" s="148"/>
      <c r="H1657" s="139"/>
      <c r="I1657" s="140"/>
      <c r="J1657" s="139"/>
    </row>
    <row r="1658" spans="5:10" x14ac:dyDescent="0.3">
      <c r="E1658" s="4"/>
      <c r="F1658" s="3"/>
      <c r="G1658" s="148"/>
      <c r="H1658" s="139"/>
      <c r="I1658" s="140"/>
      <c r="J1658" s="139"/>
    </row>
    <row r="1659" spans="5:10" x14ac:dyDescent="0.3">
      <c r="E1659" s="4"/>
      <c r="F1659" s="3"/>
      <c r="G1659" s="148"/>
      <c r="H1659" s="139"/>
      <c r="I1659" s="140"/>
      <c r="J1659" s="139"/>
    </row>
    <row r="1660" spans="5:10" x14ac:dyDescent="0.3">
      <c r="E1660" s="4"/>
      <c r="F1660" s="3"/>
      <c r="G1660" s="148"/>
      <c r="H1660" s="139"/>
      <c r="I1660" s="140"/>
      <c r="J1660" s="139"/>
    </row>
    <row r="1661" spans="5:10" x14ac:dyDescent="0.3">
      <c r="E1661" s="4"/>
      <c r="F1661" s="3"/>
      <c r="G1661" s="148"/>
      <c r="H1661" s="139"/>
      <c r="I1661" s="140"/>
      <c r="J1661" s="139"/>
    </row>
    <row r="1662" spans="5:10" x14ac:dyDescent="0.3">
      <c r="E1662" s="4"/>
      <c r="F1662" s="3"/>
      <c r="G1662" s="148"/>
      <c r="H1662" s="139"/>
      <c r="I1662" s="140"/>
      <c r="J1662" s="139"/>
    </row>
    <row r="1663" spans="5:10" x14ac:dyDescent="0.3">
      <c r="E1663" s="4"/>
      <c r="F1663" s="3"/>
      <c r="G1663" s="148"/>
      <c r="H1663" s="139"/>
      <c r="I1663" s="140"/>
      <c r="J1663" s="139"/>
    </row>
    <row r="1664" spans="5:10" x14ac:dyDescent="0.3">
      <c r="E1664" s="4"/>
      <c r="F1664" s="3"/>
      <c r="G1664" s="148"/>
      <c r="H1664" s="139"/>
      <c r="I1664" s="140"/>
      <c r="J1664" s="139"/>
    </row>
    <row r="1665" spans="5:10" x14ac:dyDescent="0.3">
      <c r="E1665" s="4"/>
      <c r="F1665" s="3"/>
      <c r="G1665" s="148"/>
      <c r="H1665" s="139"/>
      <c r="I1665" s="140"/>
      <c r="J1665" s="139"/>
    </row>
    <row r="1666" spans="5:10" x14ac:dyDescent="0.3">
      <c r="E1666" s="4"/>
      <c r="F1666" s="3"/>
      <c r="G1666" s="148"/>
      <c r="H1666" s="139"/>
      <c r="I1666" s="140"/>
      <c r="J1666" s="139"/>
    </row>
    <row r="1667" spans="5:10" x14ac:dyDescent="0.3">
      <c r="E1667" s="4"/>
      <c r="F1667" s="3"/>
      <c r="G1667" s="148"/>
      <c r="H1667" s="139"/>
      <c r="I1667" s="140"/>
      <c r="J1667" s="139"/>
    </row>
    <row r="1668" spans="5:10" x14ac:dyDescent="0.3">
      <c r="E1668" s="4"/>
      <c r="F1668" s="3"/>
      <c r="G1668" s="148"/>
      <c r="H1668" s="139"/>
      <c r="I1668" s="140"/>
      <c r="J1668" s="139"/>
    </row>
    <row r="1669" spans="5:10" x14ac:dyDescent="0.3">
      <c r="E1669" s="4"/>
      <c r="F1669" s="3"/>
      <c r="G1669" s="148"/>
      <c r="H1669" s="139"/>
      <c r="I1669" s="140"/>
      <c r="J1669" s="139"/>
    </row>
    <row r="1670" spans="5:10" x14ac:dyDescent="0.3">
      <c r="E1670" s="4"/>
      <c r="F1670" s="3"/>
      <c r="G1670" s="148"/>
      <c r="H1670" s="139"/>
      <c r="I1670" s="140"/>
      <c r="J1670" s="139"/>
    </row>
    <row r="1671" spans="5:10" x14ac:dyDescent="0.3">
      <c r="E1671" s="4"/>
      <c r="F1671" s="3"/>
      <c r="G1671" s="148"/>
      <c r="H1671" s="139"/>
      <c r="I1671" s="140"/>
      <c r="J1671" s="139"/>
    </row>
    <row r="1672" spans="5:10" x14ac:dyDescent="0.3">
      <c r="E1672" s="4"/>
      <c r="F1672" s="3"/>
      <c r="G1672" s="148"/>
      <c r="H1672" s="139"/>
      <c r="I1672" s="140"/>
      <c r="J1672" s="139"/>
    </row>
    <row r="1673" spans="5:10" x14ac:dyDescent="0.3">
      <c r="E1673" s="4"/>
      <c r="F1673" s="3"/>
      <c r="G1673" s="148"/>
      <c r="H1673" s="139"/>
      <c r="I1673" s="140"/>
      <c r="J1673" s="139"/>
    </row>
    <row r="1674" spans="5:10" x14ac:dyDescent="0.3">
      <c r="E1674" s="4"/>
      <c r="F1674" s="3"/>
      <c r="G1674" s="148"/>
      <c r="H1674" s="139"/>
      <c r="I1674" s="140"/>
      <c r="J1674" s="139"/>
    </row>
    <row r="1675" spans="5:10" x14ac:dyDescent="0.3">
      <c r="E1675" s="4"/>
      <c r="F1675" s="3"/>
      <c r="G1675" s="148"/>
      <c r="H1675" s="139"/>
      <c r="I1675" s="140"/>
      <c r="J1675" s="139"/>
    </row>
    <row r="1676" spans="5:10" x14ac:dyDescent="0.3">
      <c r="E1676" s="4"/>
      <c r="F1676" s="3"/>
      <c r="G1676" s="148"/>
      <c r="H1676" s="139"/>
      <c r="I1676" s="140"/>
      <c r="J1676" s="139"/>
    </row>
    <row r="1677" spans="5:10" x14ac:dyDescent="0.3">
      <c r="E1677" s="4"/>
      <c r="F1677" s="3"/>
      <c r="G1677" s="148"/>
      <c r="H1677" s="139"/>
      <c r="I1677" s="140"/>
      <c r="J1677" s="139"/>
    </row>
    <row r="1678" spans="5:10" x14ac:dyDescent="0.3">
      <c r="E1678" s="4"/>
      <c r="F1678" s="3"/>
      <c r="G1678" s="148"/>
      <c r="H1678" s="139"/>
      <c r="I1678" s="140"/>
      <c r="J1678" s="139"/>
    </row>
    <row r="1679" spans="5:10" x14ac:dyDescent="0.3">
      <c r="E1679" s="4"/>
      <c r="F1679" s="3"/>
      <c r="G1679" s="148"/>
      <c r="H1679" s="139"/>
      <c r="I1679" s="140"/>
      <c r="J1679" s="139"/>
    </row>
    <row r="1680" spans="5:10" x14ac:dyDescent="0.3">
      <c r="E1680" s="4"/>
      <c r="F1680" s="3"/>
      <c r="G1680" s="148"/>
      <c r="H1680" s="139"/>
      <c r="I1680" s="140"/>
      <c r="J1680" s="139"/>
    </row>
    <row r="1681" spans="5:10" x14ac:dyDescent="0.3">
      <c r="E1681" s="3"/>
      <c r="F1681" s="3"/>
      <c r="G1681" s="148"/>
      <c r="H1681" s="139"/>
      <c r="I1681" s="140"/>
      <c r="J1681" s="139"/>
    </row>
    <row r="1682" spans="5:10" x14ac:dyDescent="0.3">
      <c r="E1682" s="3"/>
      <c r="F1682" s="3"/>
      <c r="G1682" s="148"/>
      <c r="H1682" s="139"/>
      <c r="I1682" s="140"/>
      <c r="J1682" s="139"/>
    </row>
    <row r="1683" spans="5:10" x14ac:dyDescent="0.3">
      <c r="E1683" s="3"/>
      <c r="F1683" s="3"/>
      <c r="G1683" s="148"/>
      <c r="H1683" s="139"/>
      <c r="I1683" s="140"/>
      <c r="J1683" s="139"/>
    </row>
    <row r="1684" spans="5:10" x14ac:dyDescent="0.3">
      <c r="E1684" s="3"/>
      <c r="F1684" s="3"/>
      <c r="G1684" s="148"/>
      <c r="H1684" s="139"/>
      <c r="I1684" s="140"/>
      <c r="J1684" s="139"/>
    </row>
    <row r="1685" spans="5:10" x14ac:dyDescent="0.3">
      <c r="E1685" s="3"/>
      <c r="F1685" s="3"/>
      <c r="G1685" s="148"/>
      <c r="H1685" s="139"/>
      <c r="I1685" s="140"/>
      <c r="J1685" s="139"/>
    </row>
    <row r="1686" spans="5:10" x14ac:dyDescent="0.3">
      <c r="E1686" s="3"/>
      <c r="F1686" s="3"/>
      <c r="G1686" s="148"/>
      <c r="H1686" s="139"/>
      <c r="I1686" s="140"/>
      <c r="J1686" s="139"/>
    </row>
    <row r="1687" spans="5:10" x14ac:dyDescent="0.3">
      <c r="E1687" s="3"/>
      <c r="F1687" s="3"/>
      <c r="G1687" s="148"/>
      <c r="H1687" s="139"/>
      <c r="I1687" s="140"/>
      <c r="J1687" s="139"/>
    </row>
    <row r="1688" spans="5:10" x14ac:dyDescent="0.3">
      <c r="E1688" s="3"/>
      <c r="F1688" s="3"/>
      <c r="G1688" s="148"/>
      <c r="H1688" s="139"/>
      <c r="I1688" s="140"/>
      <c r="J1688" s="139"/>
    </row>
    <row r="1689" spans="5:10" x14ac:dyDescent="0.3">
      <c r="E1689" s="3"/>
      <c r="F1689" s="3"/>
      <c r="G1689" s="148"/>
      <c r="H1689" s="139"/>
      <c r="I1689" s="140"/>
      <c r="J1689" s="139"/>
    </row>
    <row r="1690" spans="5:10" x14ac:dyDescent="0.3">
      <c r="E1690" s="3"/>
      <c r="F1690" s="3"/>
      <c r="G1690" s="148"/>
      <c r="H1690" s="139"/>
      <c r="I1690" s="140"/>
      <c r="J1690" s="139"/>
    </row>
    <row r="1691" spans="5:10" x14ac:dyDescent="0.3">
      <c r="E1691" s="3"/>
      <c r="F1691" s="3"/>
      <c r="G1691" s="148"/>
      <c r="H1691" s="139"/>
      <c r="I1691" s="140"/>
      <c r="J1691" s="139"/>
    </row>
    <row r="1692" spans="5:10" x14ac:dyDescent="0.3">
      <c r="E1692" s="3"/>
      <c r="F1692" s="3"/>
      <c r="G1692" s="148"/>
      <c r="H1692" s="139"/>
      <c r="I1692" s="140"/>
      <c r="J1692" s="139"/>
    </row>
    <row r="1693" spans="5:10" x14ac:dyDescent="0.3">
      <c r="E1693" s="3"/>
      <c r="F1693" s="3"/>
      <c r="G1693" s="148"/>
      <c r="H1693" s="139"/>
      <c r="I1693" s="140"/>
      <c r="J1693" s="139"/>
    </row>
    <row r="1694" spans="5:10" x14ac:dyDescent="0.3">
      <c r="E1694" s="3"/>
      <c r="F1694" s="3"/>
      <c r="G1694" s="148"/>
      <c r="H1694" s="139"/>
      <c r="I1694" s="140"/>
      <c r="J1694" s="139"/>
    </row>
    <row r="1695" spans="5:10" x14ac:dyDescent="0.3">
      <c r="E1695" s="3"/>
      <c r="F1695" s="3"/>
      <c r="G1695" s="148"/>
      <c r="H1695" s="139"/>
      <c r="I1695" s="140"/>
      <c r="J1695" s="139"/>
    </row>
    <row r="1696" spans="5:10" x14ac:dyDescent="0.3">
      <c r="E1696" s="3"/>
      <c r="F1696" s="3"/>
      <c r="G1696" s="148"/>
      <c r="H1696" s="139"/>
      <c r="I1696" s="140"/>
      <c r="J1696" s="139"/>
    </row>
    <row r="1697" spans="5:10" x14ac:dyDescent="0.3">
      <c r="E1697" s="3"/>
      <c r="F1697" s="3"/>
      <c r="G1697" s="148"/>
      <c r="H1697" s="139"/>
      <c r="I1697" s="140"/>
      <c r="J1697" s="139"/>
    </row>
    <row r="1698" spans="5:10" x14ac:dyDescent="0.3">
      <c r="E1698" s="3"/>
      <c r="F1698" s="3"/>
      <c r="G1698" s="148"/>
      <c r="H1698" s="139"/>
      <c r="I1698" s="140"/>
      <c r="J1698" s="139"/>
    </row>
    <row r="1699" spans="5:10" x14ac:dyDescent="0.3">
      <c r="E1699" s="3"/>
      <c r="F1699" s="3"/>
      <c r="G1699" s="148"/>
      <c r="H1699" s="139"/>
      <c r="I1699" s="140"/>
      <c r="J1699" s="139"/>
    </row>
    <row r="1700" spans="5:10" x14ac:dyDescent="0.3">
      <c r="E1700" s="3"/>
      <c r="F1700" s="3"/>
      <c r="G1700" s="148"/>
      <c r="H1700" s="139"/>
      <c r="I1700" s="140"/>
      <c r="J1700" s="139"/>
    </row>
    <row r="1701" spans="5:10" x14ac:dyDescent="0.3">
      <c r="E1701" s="3"/>
      <c r="F1701" s="3"/>
      <c r="G1701" s="148"/>
      <c r="H1701" s="139"/>
      <c r="I1701" s="140"/>
      <c r="J1701" s="139"/>
    </row>
    <row r="1702" spans="5:10" x14ac:dyDescent="0.3">
      <c r="E1702" s="3"/>
      <c r="F1702" s="3"/>
      <c r="G1702" s="148"/>
      <c r="H1702" s="139"/>
      <c r="I1702" s="140"/>
      <c r="J1702" s="139"/>
    </row>
    <row r="1703" spans="5:10" x14ac:dyDescent="0.3">
      <c r="E1703" s="3"/>
      <c r="F1703" s="3"/>
      <c r="G1703" s="148"/>
      <c r="H1703" s="139"/>
      <c r="I1703" s="140"/>
      <c r="J1703" s="139"/>
    </row>
    <row r="1704" spans="5:10" x14ac:dyDescent="0.3">
      <c r="E1704" s="3"/>
      <c r="F1704" s="3"/>
      <c r="G1704" s="148"/>
      <c r="H1704" s="139"/>
      <c r="I1704" s="140"/>
      <c r="J1704" s="139"/>
    </row>
    <row r="1705" spans="5:10" x14ac:dyDescent="0.3">
      <c r="E1705" s="3"/>
      <c r="F1705" s="3"/>
      <c r="G1705" s="148"/>
      <c r="H1705" s="139"/>
      <c r="I1705" s="140"/>
      <c r="J1705" s="139"/>
    </row>
    <row r="1706" spans="5:10" x14ac:dyDescent="0.3">
      <c r="E1706" s="3"/>
      <c r="F1706" s="3"/>
      <c r="G1706" s="148"/>
      <c r="H1706" s="139"/>
      <c r="I1706" s="140"/>
      <c r="J1706" s="139"/>
    </row>
    <row r="1707" spans="5:10" x14ac:dyDescent="0.3">
      <c r="E1707" s="3"/>
      <c r="F1707" s="3"/>
      <c r="G1707" s="148"/>
      <c r="H1707" s="139"/>
      <c r="I1707" s="140"/>
      <c r="J1707" s="139"/>
    </row>
    <row r="1708" spans="5:10" x14ac:dyDescent="0.3">
      <c r="E1708" s="3"/>
      <c r="F1708" s="3"/>
      <c r="G1708" s="148"/>
      <c r="H1708" s="139"/>
      <c r="I1708" s="140"/>
      <c r="J1708" s="139"/>
    </row>
    <row r="1709" spans="5:10" x14ac:dyDescent="0.3">
      <c r="E1709" s="3"/>
      <c r="F1709" s="3"/>
      <c r="G1709" s="148"/>
      <c r="H1709" s="139"/>
      <c r="I1709" s="140"/>
      <c r="J1709" s="139"/>
    </row>
    <row r="1710" spans="5:10" x14ac:dyDescent="0.3">
      <c r="E1710" s="3"/>
      <c r="F1710" s="3"/>
      <c r="G1710" s="148"/>
      <c r="H1710" s="139"/>
      <c r="I1710" s="140"/>
      <c r="J1710" s="139"/>
    </row>
    <row r="1711" spans="5:10" x14ac:dyDescent="0.3">
      <c r="E1711" s="3"/>
      <c r="F1711" s="3"/>
      <c r="G1711" s="148"/>
      <c r="H1711" s="139"/>
      <c r="I1711" s="140"/>
      <c r="J1711" s="139"/>
    </row>
    <row r="1712" spans="5:10" x14ac:dyDescent="0.3">
      <c r="E1712" s="3"/>
      <c r="F1712" s="3"/>
      <c r="G1712" s="148"/>
      <c r="H1712" s="139"/>
      <c r="I1712" s="140"/>
      <c r="J1712" s="139"/>
    </row>
    <row r="1713" spans="5:10" x14ac:dyDescent="0.3">
      <c r="E1713" s="3"/>
      <c r="F1713" s="3"/>
      <c r="G1713" s="148"/>
      <c r="H1713" s="139"/>
      <c r="I1713" s="140"/>
      <c r="J1713" s="139"/>
    </row>
    <row r="1714" spans="5:10" x14ac:dyDescent="0.3">
      <c r="E1714" s="3"/>
      <c r="F1714" s="3"/>
      <c r="G1714" s="148"/>
      <c r="H1714" s="139"/>
      <c r="I1714" s="140"/>
      <c r="J1714" s="139"/>
    </row>
    <row r="1715" spans="5:10" x14ac:dyDescent="0.3">
      <c r="E1715" s="3"/>
      <c r="F1715" s="3"/>
      <c r="G1715" s="148"/>
      <c r="H1715" s="139"/>
      <c r="I1715" s="140"/>
      <c r="J1715" s="139"/>
    </row>
    <row r="1716" spans="5:10" x14ac:dyDescent="0.3">
      <c r="E1716" s="3"/>
      <c r="F1716" s="3"/>
      <c r="G1716" s="148"/>
      <c r="H1716" s="139"/>
      <c r="I1716" s="140"/>
      <c r="J1716" s="139"/>
    </row>
    <row r="1717" spans="5:10" x14ac:dyDescent="0.3">
      <c r="E1717" s="3"/>
      <c r="F1717" s="3"/>
      <c r="G1717" s="148"/>
      <c r="H1717" s="139"/>
      <c r="I1717" s="140"/>
      <c r="J1717" s="139"/>
    </row>
    <row r="1718" spans="5:10" x14ac:dyDescent="0.3">
      <c r="E1718" s="3"/>
      <c r="F1718" s="3"/>
      <c r="G1718" s="148"/>
      <c r="H1718" s="139"/>
      <c r="I1718" s="140"/>
      <c r="J1718" s="139"/>
    </row>
    <row r="1719" spans="5:10" x14ac:dyDescent="0.3">
      <c r="E1719" s="3"/>
      <c r="F1719" s="3"/>
      <c r="G1719" s="148"/>
      <c r="H1719" s="139"/>
      <c r="I1719" s="140"/>
      <c r="J1719" s="139"/>
    </row>
    <row r="1720" spans="5:10" x14ac:dyDescent="0.3">
      <c r="E1720" s="3"/>
      <c r="F1720" s="3"/>
      <c r="G1720" s="148"/>
      <c r="H1720" s="139"/>
      <c r="I1720" s="140"/>
      <c r="J1720" s="139"/>
    </row>
    <row r="1721" spans="5:10" x14ac:dyDescent="0.3">
      <c r="E1721" s="3"/>
      <c r="F1721" s="3"/>
      <c r="G1721" s="148"/>
      <c r="H1721" s="139"/>
      <c r="I1721" s="140"/>
      <c r="J1721" s="139"/>
    </row>
    <row r="1722" spans="5:10" x14ac:dyDescent="0.3">
      <c r="E1722" s="3"/>
      <c r="F1722" s="3"/>
      <c r="G1722" s="148"/>
      <c r="H1722" s="139"/>
      <c r="I1722" s="140"/>
      <c r="J1722" s="139"/>
    </row>
    <row r="1723" spans="5:10" x14ac:dyDescent="0.3">
      <c r="E1723" s="3"/>
      <c r="F1723" s="3"/>
      <c r="G1723" s="148"/>
      <c r="H1723" s="139"/>
      <c r="I1723" s="140"/>
      <c r="J1723" s="139"/>
    </row>
    <row r="1724" spans="5:10" x14ac:dyDescent="0.3">
      <c r="E1724" s="3"/>
      <c r="F1724" s="3"/>
      <c r="G1724" s="148"/>
      <c r="H1724" s="139"/>
      <c r="I1724" s="140"/>
      <c r="J1724" s="139"/>
    </row>
    <row r="1725" spans="5:10" x14ac:dyDescent="0.3">
      <c r="E1725" s="3"/>
      <c r="F1725" s="3"/>
      <c r="G1725" s="148"/>
      <c r="H1725" s="139"/>
      <c r="I1725" s="140"/>
      <c r="J1725" s="139"/>
    </row>
    <row r="1726" spans="5:10" x14ac:dyDescent="0.3">
      <c r="E1726" s="3"/>
      <c r="F1726" s="3"/>
      <c r="G1726" s="148"/>
      <c r="H1726" s="139"/>
      <c r="I1726" s="140"/>
      <c r="J1726" s="139"/>
    </row>
    <row r="1727" spans="5:10" x14ac:dyDescent="0.3">
      <c r="E1727" s="3"/>
      <c r="F1727" s="3"/>
      <c r="G1727" s="148"/>
      <c r="H1727" s="139"/>
      <c r="I1727" s="140"/>
      <c r="J1727" s="139"/>
    </row>
    <row r="1728" spans="5:10" x14ac:dyDescent="0.3">
      <c r="E1728" s="3"/>
      <c r="F1728" s="3"/>
      <c r="G1728" s="148"/>
      <c r="H1728" s="139"/>
      <c r="I1728" s="140"/>
      <c r="J1728" s="139"/>
    </row>
    <row r="1729" spans="5:10" x14ac:dyDescent="0.3">
      <c r="E1729" s="3"/>
      <c r="F1729" s="3"/>
      <c r="G1729" s="148"/>
      <c r="H1729" s="139"/>
      <c r="I1729" s="140"/>
      <c r="J1729" s="139"/>
    </row>
    <row r="1730" spans="5:10" x14ac:dyDescent="0.3">
      <c r="E1730" s="3"/>
      <c r="F1730" s="3"/>
      <c r="G1730" s="148"/>
      <c r="H1730" s="139"/>
      <c r="I1730" s="140"/>
      <c r="J1730" s="139"/>
    </row>
    <row r="1731" spans="5:10" x14ac:dyDescent="0.3">
      <c r="E1731" s="3"/>
      <c r="F1731" s="3"/>
      <c r="G1731" s="148"/>
      <c r="H1731" s="139"/>
      <c r="I1731" s="140"/>
      <c r="J1731" s="139"/>
    </row>
    <row r="1732" spans="5:10" x14ac:dyDescent="0.3">
      <c r="E1732" s="3"/>
      <c r="F1732" s="3"/>
      <c r="G1732" s="148"/>
      <c r="H1732" s="139"/>
      <c r="I1732" s="140"/>
      <c r="J1732" s="139"/>
    </row>
    <row r="1733" spans="5:10" x14ac:dyDescent="0.3">
      <c r="E1733" s="3"/>
      <c r="F1733" s="3"/>
      <c r="G1733" s="148"/>
      <c r="H1733" s="139"/>
      <c r="I1733" s="140"/>
      <c r="J1733" s="139"/>
    </row>
    <row r="1734" spans="5:10" x14ac:dyDescent="0.3">
      <c r="E1734" s="3"/>
      <c r="F1734" s="3"/>
      <c r="G1734" s="148"/>
      <c r="H1734" s="139"/>
      <c r="I1734" s="140"/>
      <c r="J1734" s="139"/>
    </row>
    <row r="1735" spans="5:10" x14ac:dyDescent="0.3">
      <c r="E1735" s="3"/>
      <c r="F1735" s="3"/>
      <c r="G1735" s="148"/>
      <c r="H1735" s="139"/>
      <c r="I1735" s="140"/>
      <c r="J1735" s="139"/>
    </row>
    <row r="1736" spans="5:10" x14ac:dyDescent="0.3">
      <c r="E1736" s="3"/>
      <c r="F1736" s="3"/>
      <c r="G1736" s="148"/>
      <c r="H1736" s="139"/>
      <c r="I1736" s="140"/>
      <c r="J1736" s="139"/>
    </row>
    <row r="1737" spans="5:10" x14ac:dyDescent="0.3">
      <c r="E1737" s="3"/>
      <c r="F1737" s="3"/>
      <c r="G1737" s="148"/>
      <c r="H1737" s="139"/>
      <c r="I1737" s="140"/>
      <c r="J1737" s="139"/>
    </row>
    <row r="1738" spans="5:10" x14ac:dyDescent="0.3">
      <c r="E1738" s="3"/>
      <c r="F1738" s="3"/>
      <c r="G1738" s="148"/>
      <c r="H1738" s="139"/>
      <c r="I1738" s="140"/>
      <c r="J1738" s="139"/>
    </row>
    <row r="1739" spans="5:10" x14ac:dyDescent="0.3">
      <c r="E1739" s="3"/>
      <c r="F1739" s="3"/>
      <c r="G1739" s="148"/>
      <c r="H1739" s="139"/>
      <c r="I1739" s="140"/>
      <c r="J1739" s="139"/>
    </row>
    <row r="1740" spans="5:10" x14ac:dyDescent="0.3">
      <c r="E1740" s="3"/>
      <c r="F1740" s="3"/>
      <c r="G1740" s="148"/>
      <c r="H1740" s="139"/>
      <c r="I1740" s="140"/>
      <c r="J1740" s="139"/>
    </row>
    <row r="1741" spans="5:10" x14ac:dyDescent="0.3">
      <c r="E1741" s="3"/>
      <c r="F1741" s="3"/>
      <c r="G1741" s="148"/>
      <c r="H1741" s="139"/>
      <c r="I1741" s="140"/>
      <c r="J1741" s="139"/>
    </row>
    <row r="1742" spans="5:10" x14ac:dyDescent="0.3">
      <c r="E1742" s="3"/>
      <c r="F1742" s="3"/>
      <c r="G1742" s="148"/>
      <c r="H1742" s="139"/>
      <c r="I1742" s="140"/>
      <c r="J1742" s="139"/>
    </row>
    <row r="1743" spans="5:10" x14ac:dyDescent="0.3">
      <c r="E1743" s="3"/>
      <c r="F1743" s="3"/>
      <c r="G1743" s="148"/>
      <c r="H1743" s="139"/>
      <c r="I1743" s="140"/>
      <c r="J1743" s="139"/>
    </row>
    <row r="1744" spans="5:10" x14ac:dyDescent="0.3">
      <c r="E1744" s="3"/>
      <c r="F1744" s="3"/>
      <c r="G1744" s="148"/>
      <c r="H1744" s="139"/>
      <c r="I1744" s="140"/>
      <c r="J1744" s="139"/>
    </row>
    <row r="1745" spans="5:10" x14ac:dyDescent="0.3">
      <c r="E1745" s="3"/>
      <c r="F1745" s="3"/>
      <c r="G1745" s="148"/>
      <c r="H1745" s="139"/>
      <c r="I1745" s="140"/>
      <c r="J1745" s="139"/>
    </row>
    <row r="1746" spans="5:10" x14ac:dyDescent="0.3">
      <c r="E1746" s="3"/>
      <c r="F1746" s="3"/>
      <c r="G1746" s="148"/>
      <c r="H1746" s="139"/>
      <c r="I1746" s="140"/>
      <c r="J1746" s="139"/>
    </row>
    <row r="1747" spans="5:10" x14ac:dyDescent="0.3">
      <c r="E1747" s="3"/>
      <c r="F1747" s="3"/>
      <c r="G1747" s="148"/>
      <c r="H1747" s="139"/>
      <c r="I1747" s="140"/>
      <c r="J1747" s="139"/>
    </row>
    <row r="1748" spans="5:10" x14ac:dyDescent="0.3">
      <c r="E1748" s="3"/>
      <c r="F1748" s="3"/>
      <c r="G1748" s="148"/>
      <c r="H1748" s="139"/>
      <c r="I1748" s="140"/>
      <c r="J1748" s="139"/>
    </row>
    <row r="1749" spans="5:10" x14ac:dyDescent="0.3">
      <c r="E1749" s="3"/>
      <c r="F1749" s="3"/>
      <c r="G1749" s="148"/>
      <c r="H1749" s="139"/>
      <c r="I1749" s="140"/>
      <c r="J1749" s="139"/>
    </row>
    <row r="1750" spans="5:10" x14ac:dyDescent="0.3">
      <c r="E1750" s="3"/>
      <c r="F1750" s="3"/>
      <c r="G1750" s="148"/>
      <c r="H1750" s="139"/>
      <c r="I1750" s="140"/>
      <c r="J1750" s="139"/>
    </row>
    <row r="1751" spans="5:10" x14ac:dyDescent="0.3">
      <c r="E1751" s="3"/>
      <c r="F1751" s="3"/>
      <c r="G1751" s="148"/>
      <c r="H1751" s="139"/>
      <c r="I1751" s="140"/>
      <c r="J1751" s="139"/>
    </row>
    <row r="1752" spans="5:10" x14ac:dyDescent="0.3">
      <c r="E1752" s="3"/>
      <c r="F1752" s="3"/>
      <c r="G1752" s="148"/>
      <c r="H1752" s="139"/>
      <c r="I1752" s="140"/>
      <c r="J1752" s="139"/>
    </row>
    <row r="1753" spans="5:10" x14ac:dyDescent="0.3">
      <c r="E1753" s="3"/>
      <c r="F1753" s="3"/>
      <c r="G1753" s="148"/>
      <c r="H1753" s="139"/>
      <c r="I1753" s="140"/>
      <c r="J1753" s="139"/>
    </row>
    <row r="1754" spans="5:10" x14ac:dyDescent="0.3">
      <c r="E1754" s="3"/>
      <c r="F1754" s="3"/>
      <c r="G1754" s="148"/>
      <c r="H1754" s="139"/>
      <c r="I1754" s="140"/>
      <c r="J1754" s="139"/>
    </row>
    <row r="1755" spans="5:10" x14ac:dyDescent="0.3">
      <c r="E1755" s="3"/>
      <c r="F1755" s="3"/>
      <c r="G1755" s="148"/>
      <c r="H1755" s="139"/>
      <c r="I1755" s="140"/>
      <c r="J1755" s="139"/>
    </row>
    <row r="1756" spans="5:10" x14ac:dyDescent="0.3">
      <c r="E1756" s="3"/>
      <c r="F1756" s="3"/>
      <c r="G1756" s="148"/>
      <c r="H1756" s="139"/>
      <c r="I1756" s="140"/>
      <c r="J1756" s="139"/>
    </row>
    <row r="1757" spans="5:10" x14ac:dyDescent="0.3">
      <c r="E1757" s="3"/>
      <c r="F1757" s="3"/>
      <c r="G1757" s="148"/>
      <c r="H1757" s="139"/>
      <c r="I1757" s="140"/>
      <c r="J1757" s="139"/>
    </row>
    <row r="1758" spans="5:10" x14ac:dyDescent="0.3">
      <c r="E1758" s="3"/>
      <c r="F1758" s="3"/>
      <c r="G1758" s="148"/>
      <c r="H1758" s="139"/>
      <c r="I1758" s="140"/>
      <c r="J1758" s="139"/>
    </row>
    <row r="1759" spans="5:10" x14ac:dyDescent="0.3">
      <c r="E1759" s="3"/>
      <c r="F1759" s="3"/>
      <c r="G1759" s="148"/>
      <c r="H1759" s="139"/>
      <c r="I1759" s="140"/>
      <c r="J1759" s="139"/>
    </row>
    <row r="1760" spans="5:10" x14ac:dyDescent="0.3">
      <c r="E1760" s="3"/>
      <c r="F1760" s="3"/>
      <c r="G1760" s="148"/>
      <c r="H1760" s="139"/>
      <c r="I1760" s="140"/>
      <c r="J1760" s="139"/>
    </row>
    <row r="1761" spans="5:10" x14ac:dyDescent="0.3">
      <c r="E1761" s="3"/>
      <c r="F1761" s="3"/>
      <c r="G1761" s="148"/>
      <c r="H1761" s="139"/>
      <c r="I1761" s="140"/>
      <c r="J1761" s="139"/>
    </row>
    <row r="1762" spans="5:10" x14ac:dyDescent="0.3">
      <c r="E1762" s="3"/>
      <c r="F1762" s="3"/>
      <c r="G1762" s="148"/>
      <c r="H1762" s="139"/>
      <c r="I1762" s="140"/>
      <c r="J1762" s="139"/>
    </row>
    <row r="1763" spans="5:10" x14ac:dyDescent="0.3">
      <c r="E1763" s="3"/>
      <c r="F1763" s="3"/>
      <c r="G1763" s="148"/>
      <c r="H1763" s="139"/>
      <c r="I1763" s="140"/>
      <c r="J1763" s="139"/>
    </row>
    <row r="1764" spans="5:10" x14ac:dyDescent="0.3">
      <c r="E1764" s="3"/>
      <c r="F1764" s="3"/>
      <c r="G1764" s="148"/>
      <c r="H1764" s="139"/>
      <c r="I1764" s="140"/>
      <c r="J1764" s="139"/>
    </row>
    <row r="1765" spans="5:10" x14ac:dyDescent="0.3">
      <c r="E1765" s="3"/>
      <c r="F1765" s="3"/>
      <c r="G1765" s="148"/>
      <c r="H1765" s="139"/>
      <c r="I1765" s="140"/>
      <c r="J1765" s="139"/>
    </row>
    <row r="1766" spans="5:10" x14ac:dyDescent="0.3">
      <c r="E1766" s="3"/>
      <c r="F1766" s="3"/>
      <c r="G1766" s="148"/>
      <c r="H1766" s="139"/>
      <c r="I1766" s="140"/>
      <c r="J1766" s="139"/>
    </row>
    <row r="1767" spans="5:10" x14ac:dyDescent="0.3">
      <c r="E1767" s="3"/>
      <c r="F1767" s="3"/>
      <c r="G1767" s="148"/>
      <c r="H1767" s="139"/>
      <c r="I1767" s="140"/>
      <c r="J1767" s="139"/>
    </row>
    <row r="1768" spans="5:10" x14ac:dyDescent="0.3">
      <c r="E1768" s="3"/>
      <c r="F1768" s="3"/>
      <c r="G1768" s="148"/>
      <c r="H1768" s="139"/>
      <c r="I1768" s="140"/>
      <c r="J1768" s="139"/>
    </row>
    <row r="1769" spans="5:10" x14ac:dyDescent="0.3">
      <c r="E1769" s="3"/>
      <c r="F1769" s="3"/>
      <c r="G1769" s="148"/>
      <c r="H1769" s="139"/>
      <c r="I1769" s="140"/>
      <c r="J1769" s="139"/>
    </row>
    <row r="1770" spans="5:10" x14ac:dyDescent="0.3">
      <c r="E1770" s="3"/>
      <c r="F1770" s="3"/>
      <c r="G1770" s="148"/>
      <c r="H1770" s="139"/>
      <c r="I1770" s="140"/>
      <c r="J1770" s="139"/>
    </row>
    <row r="1771" spans="5:10" x14ac:dyDescent="0.3">
      <c r="E1771" s="3"/>
      <c r="F1771" s="3"/>
      <c r="G1771" s="148"/>
      <c r="H1771" s="139"/>
      <c r="I1771" s="140"/>
      <c r="J1771" s="139"/>
    </row>
    <row r="1772" spans="5:10" x14ac:dyDescent="0.3">
      <c r="E1772" s="3"/>
      <c r="F1772" s="3"/>
      <c r="G1772" s="148"/>
      <c r="H1772" s="139"/>
      <c r="I1772" s="140"/>
      <c r="J1772" s="139"/>
    </row>
    <row r="1773" spans="5:10" x14ac:dyDescent="0.3">
      <c r="E1773" s="3"/>
      <c r="F1773" s="3"/>
      <c r="G1773" s="148"/>
      <c r="H1773" s="139"/>
      <c r="I1773" s="140"/>
      <c r="J1773" s="139"/>
    </row>
    <row r="1774" spans="5:10" x14ac:dyDescent="0.3">
      <c r="E1774" s="3"/>
      <c r="F1774" s="3"/>
      <c r="G1774" s="148"/>
      <c r="H1774" s="139"/>
      <c r="I1774" s="140"/>
      <c r="J1774" s="139"/>
    </row>
    <row r="1775" spans="5:10" x14ac:dyDescent="0.3">
      <c r="E1775" s="3"/>
      <c r="F1775" s="3"/>
      <c r="G1775" s="148"/>
      <c r="H1775" s="139"/>
      <c r="I1775" s="140"/>
      <c r="J1775" s="139"/>
    </row>
    <row r="1776" spans="5:10" x14ac:dyDescent="0.3">
      <c r="E1776" s="3"/>
      <c r="F1776" s="3"/>
      <c r="G1776" s="148"/>
      <c r="H1776" s="139"/>
      <c r="I1776" s="140"/>
      <c r="J1776" s="139"/>
    </row>
    <row r="1777" spans="5:10" x14ac:dyDescent="0.3">
      <c r="E1777" s="3"/>
      <c r="F1777" s="3"/>
      <c r="G1777" s="148"/>
      <c r="H1777" s="139"/>
      <c r="I1777" s="140"/>
      <c r="J1777" s="139"/>
    </row>
    <row r="1778" spans="5:10" x14ac:dyDescent="0.3">
      <c r="E1778" s="3"/>
      <c r="F1778" s="3"/>
      <c r="G1778" s="148"/>
      <c r="H1778" s="139"/>
      <c r="I1778" s="140"/>
      <c r="J1778" s="139"/>
    </row>
    <row r="1779" spans="5:10" x14ac:dyDescent="0.3">
      <c r="E1779" s="3"/>
      <c r="F1779" s="3"/>
      <c r="G1779" s="148"/>
      <c r="H1779" s="139"/>
      <c r="I1779" s="140"/>
      <c r="J1779" s="139"/>
    </row>
    <row r="1780" spans="5:10" x14ac:dyDescent="0.3">
      <c r="E1780" s="3"/>
      <c r="F1780" s="3"/>
      <c r="G1780" s="148"/>
      <c r="H1780" s="139"/>
      <c r="I1780" s="140"/>
      <c r="J1780" s="139"/>
    </row>
    <row r="1781" spans="5:10" x14ac:dyDescent="0.3">
      <c r="E1781" s="3"/>
      <c r="F1781" s="3"/>
      <c r="G1781" s="148"/>
      <c r="H1781" s="139"/>
      <c r="I1781" s="140"/>
      <c r="J1781" s="139"/>
    </row>
    <row r="1782" spans="5:10" x14ac:dyDescent="0.3">
      <c r="E1782" s="3"/>
      <c r="F1782" s="3"/>
      <c r="G1782" s="148"/>
      <c r="H1782" s="139"/>
      <c r="I1782" s="140"/>
      <c r="J1782" s="139"/>
    </row>
    <row r="1783" spans="5:10" x14ac:dyDescent="0.3">
      <c r="E1783" s="3"/>
      <c r="F1783" s="3"/>
      <c r="G1783" s="148"/>
      <c r="H1783" s="139"/>
      <c r="I1783" s="140"/>
      <c r="J1783" s="139"/>
    </row>
    <row r="1784" spans="5:10" x14ac:dyDescent="0.3">
      <c r="E1784" s="3"/>
      <c r="F1784" s="3"/>
      <c r="G1784" s="148"/>
      <c r="H1784" s="139"/>
      <c r="I1784" s="140"/>
      <c r="J1784" s="139"/>
    </row>
    <row r="1785" spans="5:10" x14ac:dyDescent="0.3">
      <c r="E1785" s="3"/>
      <c r="F1785" s="3"/>
      <c r="G1785" s="148"/>
      <c r="H1785" s="139"/>
      <c r="I1785" s="140"/>
      <c r="J1785" s="139"/>
    </row>
    <row r="1786" spans="5:10" x14ac:dyDescent="0.3">
      <c r="E1786" s="3"/>
      <c r="F1786" s="3"/>
      <c r="G1786" s="148"/>
      <c r="H1786" s="139"/>
      <c r="I1786" s="140"/>
      <c r="J1786" s="139"/>
    </row>
    <row r="1787" spans="5:10" x14ac:dyDescent="0.3">
      <c r="E1787" s="3"/>
      <c r="F1787" s="3"/>
      <c r="G1787" s="148"/>
      <c r="H1787" s="139"/>
      <c r="I1787" s="140"/>
      <c r="J1787" s="139"/>
    </row>
    <row r="1788" spans="5:10" x14ac:dyDescent="0.3">
      <c r="E1788" s="3"/>
      <c r="F1788" s="3"/>
      <c r="G1788" s="148"/>
      <c r="H1788" s="139"/>
      <c r="I1788" s="140"/>
      <c r="J1788" s="139"/>
    </row>
    <row r="1789" spans="5:10" x14ac:dyDescent="0.3">
      <c r="E1789" s="3"/>
      <c r="F1789" s="3"/>
      <c r="G1789" s="148"/>
      <c r="H1789" s="139"/>
      <c r="I1789" s="140"/>
      <c r="J1789" s="139"/>
    </row>
    <row r="1790" spans="5:10" x14ac:dyDescent="0.3">
      <c r="E1790" s="3"/>
      <c r="F1790" s="3"/>
      <c r="G1790" s="148"/>
      <c r="H1790" s="139"/>
      <c r="I1790" s="140"/>
      <c r="J1790" s="139"/>
    </row>
    <row r="1791" spans="5:10" x14ac:dyDescent="0.3">
      <c r="E1791" s="3"/>
      <c r="F1791" s="3"/>
      <c r="G1791" s="148"/>
      <c r="H1791" s="139"/>
      <c r="I1791" s="140"/>
      <c r="J1791" s="139"/>
    </row>
    <row r="1792" spans="5:10" x14ac:dyDescent="0.3">
      <c r="E1792" s="3"/>
      <c r="F1792" s="3"/>
      <c r="G1792" s="148"/>
      <c r="H1792" s="139"/>
      <c r="I1792" s="140"/>
      <c r="J1792" s="139"/>
    </row>
    <row r="1793" spans="5:10" x14ac:dyDescent="0.3">
      <c r="E1793" s="3"/>
      <c r="F1793" s="3"/>
      <c r="G1793" s="148"/>
      <c r="H1793" s="139"/>
      <c r="I1793" s="140"/>
      <c r="J1793" s="139"/>
    </row>
    <row r="1794" spans="5:10" x14ac:dyDescent="0.3">
      <c r="E1794" s="3"/>
      <c r="F1794" s="3"/>
      <c r="G1794" s="148"/>
      <c r="H1794" s="139"/>
      <c r="I1794" s="140"/>
      <c r="J1794" s="139"/>
    </row>
    <row r="1795" spans="5:10" x14ac:dyDescent="0.3">
      <c r="E1795" s="3"/>
      <c r="F1795" s="3"/>
      <c r="G1795" s="148"/>
      <c r="H1795" s="139"/>
      <c r="I1795" s="140"/>
      <c r="J1795" s="139"/>
    </row>
    <row r="1796" spans="5:10" x14ac:dyDescent="0.3">
      <c r="E1796" s="3"/>
      <c r="F1796" s="3"/>
      <c r="G1796" s="148"/>
      <c r="H1796" s="139"/>
      <c r="I1796" s="140"/>
      <c r="J1796" s="139"/>
    </row>
    <row r="1797" spans="5:10" x14ac:dyDescent="0.3">
      <c r="E1797" s="3"/>
      <c r="F1797" s="3"/>
      <c r="G1797" s="148"/>
      <c r="H1797" s="139"/>
      <c r="I1797" s="140"/>
      <c r="J1797" s="139"/>
    </row>
    <row r="1798" spans="5:10" x14ac:dyDescent="0.3">
      <c r="E1798" s="3"/>
      <c r="F1798" s="3"/>
      <c r="G1798" s="148"/>
      <c r="H1798" s="139"/>
      <c r="I1798" s="140"/>
      <c r="J1798" s="139"/>
    </row>
    <row r="1799" spans="5:10" x14ac:dyDescent="0.3">
      <c r="E1799" s="3"/>
      <c r="F1799" s="3"/>
      <c r="G1799" s="148"/>
      <c r="H1799" s="139"/>
      <c r="I1799" s="140"/>
      <c r="J1799" s="139"/>
    </row>
    <row r="1800" spans="5:10" x14ac:dyDescent="0.3">
      <c r="E1800" s="3"/>
      <c r="F1800" s="3"/>
      <c r="G1800" s="148"/>
      <c r="H1800" s="139"/>
      <c r="I1800" s="140"/>
      <c r="J1800" s="139"/>
    </row>
    <row r="1801" spans="5:10" x14ac:dyDescent="0.3">
      <c r="E1801" s="3"/>
      <c r="F1801" s="3"/>
      <c r="G1801" s="148"/>
      <c r="H1801" s="139"/>
      <c r="I1801" s="140"/>
      <c r="J1801" s="139"/>
    </row>
    <row r="1802" spans="5:10" x14ac:dyDescent="0.3">
      <c r="E1802" s="3"/>
      <c r="F1802" s="3"/>
      <c r="G1802" s="148"/>
      <c r="H1802" s="139"/>
      <c r="I1802" s="140"/>
      <c r="J1802" s="139"/>
    </row>
    <row r="1803" spans="5:10" x14ac:dyDescent="0.3">
      <c r="E1803" s="3"/>
      <c r="F1803" s="3"/>
      <c r="G1803" s="148"/>
      <c r="H1803" s="139"/>
      <c r="I1803" s="140"/>
      <c r="J1803" s="139"/>
    </row>
    <row r="1804" spans="5:10" x14ac:dyDescent="0.3">
      <c r="E1804" s="3"/>
      <c r="F1804" s="3"/>
      <c r="G1804" s="148"/>
      <c r="H1804" s="139"/>
      <c r="I1804" s="140"/>
      <c r="J1804" s="139"/>
    </row>
    <row r="1805" spans="5:10" x14ac:dyDescent="0.3">
      <c r="E1805" s="3"/>
      <c r="F1805" s="3"/>
      <c r="G1805" s="148"/>
      <c r="H1805" s="139"/>
      <c r="I1805" s="140"/>
      <c r="J1805" s="139"/>
    </row>
    <row r="1806" spans="5:10" x14ac:dyDescent="0.3">
      <c r="E1806" s="3"/>
      <c r="F1806" s="3"/>
      <c r="G1806" s="148"/>
      <c r="H1806" s="139"/>
      <c r="I1806" s="140"/>
      <c r="J1806" s="139"/>
    </row>
    <row r="1807" spans="5:10" x14ac:dyDescent="0.3">
      <c r="E1807" s="3"/>
      <c r="F1807" s="3"/>
      <c r="G1807" s="148"/>
      <c r="H1807" s="139"/>
      <c r="I1807" s="140"/>
      <c r="J1807" s="139"/>
    </row>
    <row r="1808" spans="5:10" x14ac:dyDescent="0.3">
      <c r="E1808" s="3"/>
      <c r="F1808" s="3"/>
      <c r="G1808" s="148"/>
      <c r="H1808" s="139"/>
      <c r="I1808" s="140"/>
      <c r="J1808" s="139"/>
    </row>
    <row r="1809" spans="5:10" x14ac:dyDescent="0.3">
      <c r="E1809" s="3"/>
      <c r="F1809" s="3"/>
      <c r="G1809" s="148"/>
      <c r="H1809" s="139"/>
      <c r="I1809" s="140"/>
      <c r="J1809" s="139"/>
    </row>
    <row r="1810" spans="5:10" x14ac:dyDescent="0.3">
      <c r="E1810" s="3"/>
      <c r="F1810" s="3"/>
      <c r="G1810" s="148"/>
      <c r="H1810" s="139"/>
      <c r="I1810" s="140"/>
      <c r="J1810" s="139"/>
    </row>
    <row r="1811" spans="5:10" x14ac:dyDescent="0.3">
      <c r="E1811" s="3"/>
      <c r="F1811" s="3"/>
      <c r="G1811" s="148"/>
      <c r="H1811" s="139"/>
      <c r="I1811" s="140"/>
      <c r="J1811" s="139"/>
    </row>
    <row r="1812" spans="5:10" x14ac:dyDescent="0.3">
      <c r="E1812" s="3"/>
      <c r="F1812" s="3"/>
      <c r="G1812" s="148"/>
      <c r="H1812" s="139"/>
      <c r="I1812" s="140"/>
      <c r="J1812" s="139"/>
    </row>
    <row r="1813" spans="5:10" x14ac:dyDescent="0.3">
      <c r="E1813" s="3"/>
      <c r="F1813" s="3"/>
      <c r="G1813" s="148"/>
      <c r="H1813" s="139"/>
      <c r="I1813" s="140"/>
      <c r="J1813" s="139"/>
    </row>
    <row r="1814" spans="5:10" x14ac:dyDescent="0.3">
      <c r="E1814" s="3"/>
      <c r="F1814" s="3"/>
      <c r="G1814" s="148"/>
      <c r="H1814" s="139"/>
      <c r="I1814" s="140"/>
      <c r="J1814" s="139"/>
    </row>
    <row r="1815" spans="5:10" x14ac:dyDescent="0.3">
      <c r="E1815" s="3"/>
      <c r="F1815" s="3"/>
      <c r="G1815" s="148"/>
      <c r="H1815" s="139"/>
      <c r="I1815" s="140"/>
      <c r="J1815" s="139"/>
    </row>
    <row r="1816" spans="5:10" x14ac:dyDescent="0.3">
      <c r="E1816" s="3"/>
      <c r="F1816" s="3"/>
      <c r="G1816" s="148"/>
      <c r="H1816" s="139"/>
      <c r="I1816" s="140"/>
      <c r="J1816" s="139"/>
    </row>
    <row r="1817" spans="5:10" x14ac:dyDescent="0.3">
      <c r="E1817" s="3"/>
      <c r="F1817" s="3"/>
      <c r="G1817" s="148"/>
      <c r="H1817" s="139"/>
      <c r="I1817" s="140"/>
      <c r="J1817" s="139"/>
    </row>
    <row r="1818" spans="5:10" x14ac:dyDescent="0.3">
      <c r="E1818" s="3"/>
      <c r="F1818" s="3"/>
      <c r="G1818" s="148"/>
      <c r="H1818" s="139"/>
      <c r="I1818" s="140"/>
      <c r="J1818" s="139"/>
    </row>
    <row r="1819" spans="5:10" x14ac:dyDescent="0.3">
      <c r="E1819" s="3"/>
      <c r="F1819" s="3"/>
      <c r="G1819" s="148"/>
      <c r="H1819" s="139"/>
      <c r="I1819" s="140"/>
      <c r="J1819" s="139"/>
    </row>
    <row r="1820" spans="5:10" x14ac:dyDescent="0.3">
      <c r="E1820" s="3"/>
      <c r="F1820" s="3"/>
      <c r="G1820" s="148"/>
      <c r="H1820" s="139"/>
      <c r="I1820" s="140"/>
      <c r="J1820" s="139"/>
    </row>
    <row r="1821" spans="5:10" x14ac:dyDescent="0.3">
      <c r="E1821" s="3"/>
      <c r="F1821" s="3"/>
      <c r="G1821" s="148"/>
      <c r="H1821" s="139"/>
      <c r="I1821" s="140"/>
      <c r="J1821" s="139"/>
    </row>
    <row r="1822" spans="5:10" x14ac:dyDescent="0.3">
      <c r="E1822" s="3"/>
      <c r="F1822" s="3"/>
      <c r="G1822" s="148"/>
      <c r="H1822" s="139"/>
      <c r="I1822" s="140"/>
      <c r="J1822" s="139"/>
    </row>
    <row r="1823" spans="5:10" x14ac:dyDescent="0.3">
      <c r="E1823" s="3"/>
      <c r="F1823" s="3"/>
      <c r="G1823" s="148"/>
      <c r="H1823" s="139"/>
      <c r="I1823" s="140"/>
      <c r="J1823" s="139"/>
    </row>
    <row r="1824" spans="5:10" x14ac:dyDescent="0.3">
      <c r="E1824" s="3"/>
      <c r="F1824" s="3"/>
      <c r="G1824" s="148"/>
      <c r="H1824" s="139"/>
      <c r="I1824" s="140"/>
      <c r="J1824" s="139"/>
    </row>
    <row r="1825" spans="5:10" x14ac:dyDescent="0.3">
      <c r="E1825" s="3"/>
      <c r="F1825" s="3"/>
      <c r="G1825" s="148"/>
      <c r="H1825" s="139"/>
      <c r="I1825" s="140"/>
      <c r="J1825" s="139"/>
    </row>
    <row r="1826" spans="5:10" x14ac:dyDescent="0.3">
      <c r="E1826" s="3"/>
      <c r="F1826" s="3"/>
      <c r="G1826" s="148"/>
      <c r="H1826" s="139"/>
      <c r="I1826" s="140"/>
      <c r="J1826" s="139"/>
    </row>
    <row r="1827" spans="5:10" x14ac:dyDescent="0.3">
      <c r="E1827" s="3"/>
      <c r="F1827" s="3"/>
      <c r="G1827" s="148"/>
      <c r="H1827" s="139"/>
      <c r="I1827" s="140"/>
      <c r="J1827" s="139"/>
    </row>
    <row r="1828" spans="5:10" x14ac:dyDescent="0.3">
      <c r="E1828" s="3"/>
      <c r="F1828" s="3"/>
      <c r="G1828" s="148"/>
      <c r="H1828" s="139"/>
      <c r="I1828" s="140"/>
      <c r="J1828" s="139"/>
    </row>
    <row r="1829" spans="5:10" x14ac:dyDescent="0.3">
      <c r="E1829" s="3"/>
      <c r="F1829" s="3"/>
      <c r="G1829" s="148"/>
      <c r="H1829" s="139"/>
      <c r="I1829" s="140"/>
      <c r="J1829" s="139"/>
    </row>
    <row r="1830" spans="5:10" x14ac:dyDescent="0.3">
      <c r="E1830" s="3"/>
      <c r="F1830" s="3"/>
      <c r="G1830" s="148"/>
      <c r="H1830" s="139"/>
      <c r="I1830" s="140"/>
      <c r="J1830" s="139"/>
    </row>
    <row r="1831" spans="5:10" x14ac:dyDescent="0.3">
      <c r="E1831" s="3"/>
      <c r="F1831" s="3"/>
      <c r="G1831" s="148"/>
      <c r="H1831" s="139"/>
      <c r="I1831" s="140"/>
      <c r="J1831" s="139"/>
    </row>
    <row r="1832" spans="5:10" x14ac:dyDescent="0.3">
      <c r="E1832" s="3"/>
      <c r="F1832" s="3"/>
      <c r="G1832" s="148"/>
      <c r="H1832" s="139"/>
      <c r="I1832" s="140"/>
      <c r="J1832" s="139"/>
    </row>
    <row r="1833" spans="5:10" x14ac:dyDescent="0.3">
      <c r="E1833" s="3"/>
      <c r="F1833" s="3"/>
      <c r="G1833" s="148"/>
      <c r="H1833" s="139"/>
      <c r="I1833" s="140"/>
      <c r="J1833" s="139"/>
    </row>
    <row r="1834" spans="5:10" x14ac:dyDescent="0.3">
      <c r="E1834" s="3"/>
      <c r="F1834" s="3"/>
      <c r="G1834" s="148"/>
      <c r="H1834" s="139"/>
      <c r="I1834" s="140"/>
      <c r="J1834" s="139"/>
    </row>
    <row r="1835" spans="5:10" x14ac:dyDescent="0.3">
      <c r="E1835" s="3"/>
      <c r="F1835" s="3"/>
      <c r="G1835" s="148"/>
      <c r="H1835" s="139"/>
      <c r="I1835" s="140"/>
      <c r="J1835" s="139"/>
    </row>
    <row r="1836" spans="5:10" x14ac:dyDescent="0.3">
      <c r="E1836" s="3"/>
      <c r="F1836" s="3"/>
      <c r="G1836" s="148"/>
      <c r="H1836" s="139"/>
      <c r="I1836" s="140"/>
      <c r="J1836" s="139"/>
    </row>
    <row r="1837" spans="5:10" x14ac:dyDescent="0.3">
      <c r="E1837" s="3"/>
      <c r="F1837" s="3"/>
      <c r="G1837" s="148"/>
      <c r="H1837" s="139"/>
      <c r="I1837" s="140"/>
      <c r="J1837" s="139"/>
    </row>
    <row r="1838" spans="5:10" x14ac:dyDescent="0.3">
      <c r="E1838" s="3"/>
      <c r="F1838" s="3"/>
      <c r="G1838" s="148"/>
      <c r="H1838" s="139"/>
      <c r="I1838" s="140"/>
      <c r="J1838" s="139"/>
    </row>
    <row r="1839" spans="5:10" x14ac:dyDescent="0.3">
      <c r="E1839" s="3"/>
      <c r="F1839" s="3"/>
      <c r="G1839" s="148"/>
      <c r="H1839" s="139"/>
      <c r="I1839" s="140"/>
      <c r="J1839" s="139"/>
    </row>
    <row r="1840" spans="5:10" x14ac:dyDescent="0.3">
      <c r="E1840" s="3"/>
      <c r="F1840" s="3"/>
      <c r="G1840" s="148"/>
      <c r="H1840" s="139"/>
      <c r="I1840" s="140"/>
      <c r="J1840" s="139"/>
    </row>
    <row r="1841" spans="5:10" x14ac:dyDescent="0.3">
      <c r="E1841" s="3"/>
      <c r="F1841" s="3"/>
      <c r="G1841" s="148"/>
      <c r="H1841" s="139"/>
      <c r="I1841" s="140"/>
      <c r="J1841" s="139"/>
    </row>
    <row r="1842" spans="5:10" x14ac:dyDescent="0.3">
      <c r="E1842" s="3"/>
      <c r="F1842" s="3"/>
      <c r="G1842" s="148"/>
      <c r="H1842" s="139"/>
      <c r="I1842" s="140"/>
      <c r="J1842" s="139"/>
    </row>
    <row r="1843" spans="5:10" x14ac:dyDescent="0.3">
      <c r="E1843" s="3"/>
      <c r="F1843" s="3"/>
      <c r="G1843" s="148"/>
      <c r="H1843" s="139"/>
      <c r="I1843" s="140"/>
      <c r="J1843" s="139"/>
    </row>
    <row r="1844" spans="5:10" x14ac:dyDescent="0.3">
      <c r="E1844" s="3"/>
      <c r="F1844" s="3"/>
      <c r="G1844" s="148"/>
      <c r="H1844" s="139"/>
      <c r="I1844" s="140"/>
      <c r="J1844" s="139"/>
    </row>
    <row r="1845" spans="5:10" x14ac:dyDescent="0.3">
      <c r="E1845" s="3"/>
      <c r="F1845" s="3"/>
      <c r="G1845" s="148"/>
      <c r="H1845" s="139"/>
      <c r="I1845" s="140"/>
      <c r="J1845" s="139"/>
    </row>
    <row r="1846" spans="5:10" x14ac:dyDescent="0.3">
      <c r="E1846" s="3"/>
      <c r="F1846" s="3"/>
      <c r="G1846" s="148"/>
      <c r="H1846" s="139"/>
      <c r="I1846" s="140"/>
      <c r="J1846" s="139"/>
    </row>
    <row r="1847" spans="5:10" x14ac:dyDescent="0.3">
      <c r="E1847" s="3"/>
      <c r="F1847" s="3"/>
      <c r="G1847" s="148"/>
      <c r="H1847" s="139"/>
      <c r="I1847" s="140"/>
      <c r="J1847" s="139"/>
    </row>
    <row r="1848" spans="5:10" x14ac:dyDescent="0.3">
      <c r="E1848" s="3"/>
      <c r="F1848" s="3"/>
      <c r="G1848" s="148"/>
      <c r="H1848" s="139"/>
      <c r="I1848" s="140"/>
      <c r="J1848" s="139"/>
    </row>
    <row r="1849" spans="5:10" x14ac:dyDescent="0.3">
      <c r="E1849" s="3"/>
      <c r="F1849" s="3"/>
      <c r="G1849" s="148"/>
      <c r="H1849" s="139"/>
      <c r="I1849" s="140"/>
      <c r="J1849" s="139"/>
    </row>
    <row r="1850" spans="5:10" x14ac:dyDescent="0.3">
      <c r="E1850" s="3"/>
      <c r="F1850" s="3"/>
      <c r="G1850" s="148"/>
      <c r="H1850" s="139"/>
      <c r="I1850" s="140"/>
      <c r="J1850" s="139"/>
    </row>
    <row r="1851" spans="5:10" x14ac:dyDescent="0.3">
      <c r="E1851" s="3"/>
      <c r="F1851" s="3"/>
      <c r="G1851" s="148"/>
      <c r="H1851" s="139"/>
      <c r="I1851" s="140"/>
      <c r="J1851" s="139"/>
    </row>
    <row r="1852" spans="5:10" x14ac:dyDescent="0.3">
      <c r="E1852" s="3"/>
      <c r="F1852" s="3"/>
      <c r="G1852" s="148"/>
      <c r="H1852" s="139"/>
      <c r="I1852" s="140"/>
      <c r="J1852" s="139"/>
    </row>
    <row r="1853" spans="5:10" x14ac:dyDescent="0.3">
      <c r="E1853" s="3"/>
      <c r="F1853" s="3"/>
      <c r="G1853" s="148"/>
      <c r="H1853" s="139"/>
      <c r="I1853" s="140"/>
      <c r="J1853" s="139"/>
    </row>
    <row r="1854" spans="5:10" x14ac:dyDescent="0.3">
      <c r="E1854" s="3"/>
      <c r="F1854" s="3"/>
      <c r="G1854" s="148"/>
      <c r="H1854" s="139"/>
      <c r="I1854" s="140"/>
      <c r="J1854" s="139"/>
    </row>
    <row r="1855" spans="5:10" x14ac:dyDescent="0.3">
      <c r="E1855" s="3"/>
      <c r="F1855" s="3"/>
      <c r="G1855" s="148"/>
      <c r="H1855" s="139"/>
      <c r="I1855" s="140"/>
      <c r="J1855" s="139"/>
    </row>
    <row r="1856" spans="5:10" x14ac:dyDescent="0.3">
      <c r="E1856" s="3"/>
      <c r="F1856" s="3"/>
      <c r="G1856" s="148"/>
      <c r="H1856" s="139"/>
      <c r="I1856" s="140"/>
      <c r="J1856" s="139"/>
    </row>
    <row r="1857" spans="5:10" x14ac:dyDescent="0.3">
      <c r="E1857" s="3"/>
      <c r="F1857" s="3"/>
      <c r="G1857" s="148"/>
      <c r="H1857" s="139"/>
      <c r="I1857" s="140"/>
      <c r="J1857" s="139"/>
    </row>
    <row r="1858" spans="5:10" x14ac:dyDescent="0.3">
      <c r="E1858" s="3"/>
      <c r="F1858" s="3"/>
      <c r="G1858" s="148"/>
      <c r="H1858" s="139"/>
      <c r="I1858" s="140"/>
      <c r="J1858" s="139"/>
    </row>
    <row r="1859" spans="5:10" x14ac:dyDescent="0.3">
      <c r="E1859" s="3"/>
      <c r="F1859" s="3"/>
      <c r="G1859" s="148"/>
      <c r="H1859" s="139"/>
      <c r="I1859" s="140"/>
      <c r="J1859" s="139"/>
    </row>
    <row r="1860" spans="5:10" x14ac:dyDescent="0.3">
      <c r="E1860" s="3"/>
      <c r="F1860" s="3"/>
      <c r="G1860" s="148"/>
      <c r="H1860" s="139"/>
      <c r="I1860" s="140"/>
      <c r="J1860" s="139"/>
    </row>
    <row r="1861" spans="5:10" x14ac:dyDescent="0.3">
      <c r="E1861" s="3"/>
      <c r="F1861" s="3"/>
      <c r="G1861" s="148"/>
      <c r="H1861" s="139"/>
      <c r="I1861" s="140"/>
      <c r="J1861" s="139"/>
    </row>
    <row r="1862" spans="5:10" x14ac:dyDescent="0.3">
      <c r="E1862" s="3"/>
      <c r="F1862" s="3"/>
      <c r="G1862" s="148"/>
      <c r="H1862" s="139"/>
      <c r="I1862" s="140"/>
      <c r="J1862" s="139"/>
    </row>
    <row r="1863" spans="5:10" x14ac:dyDescent="0.3">
      <c r="E1863" s="3"/>
      <c r="F1863" s="3"/>
      <c r="G1863" s="148"/>
      <c r="H1863" s="139"/>
      <c r="I1863" s="140"/>
      <c r="J1863" s="139"/>
    </row>
    <row r="1864" spans="5:10" x14ac:dyDescent="0.3">
      <c r="E1864" s="3"/>
      <c r="F1864" s="3"/>
      <c r="G1864" s="148"/>
      <c r="H1864" s="139"/>
      <c r="I1864" s="140"/>
      <c r="J1864" s="139"/>
    </row>
    <row r="1865" spans="5:10" x14ac:dyDescent="0.3">
      <c r="E1865" s="3"/>
      <c r="F1865" s="3"/>
      <c r="G1865" s="148"/>
      <c r="H1865" s="139"/>
      <c r="I1865" s="140"/>
      <c r="J1865" s="139"/>
    </row>
    <row r="1866" spans="5:10" x14ac:dyDescent="0.3">
      <c r="E1866" s="3"/>
      <c r="F1866" s="3"/>
      <c r="G1866" s="148"/>
      <c r="H1866" s="139"/>
      <c r="I1866" s="140"/>
      <c r="J1866" s="139"/>
    </row>
    <row r="1867" spans="5:10" x14ac:dyDescent="0.3">
      <c r="E1867" s="3"/>
      <c r="F1867" s="3"/>
      <c r="G1867" s="148"/>
      <c r="H1867" s="139"/>
      <c r="I1867" s="140"/>
      <c r="J1867" s="139"/>
    </row>
    <row r="1868" spans="5:10" x14ac:dyDescent="0.3">
      <c r="E1868" s="3"/>
      <c r="F1868" s="3"/>
      <c r="G1868" s="148"/>
      <c r="H1868" s="139"/>
      <c r="I1868" s="140"/>
      <c r="J1868" s="139"/>
    </row>
    <row r="1869" spans="5:10" x14ac:dyDescent="0.3">
      <c r="E1869" s="3"/>
      <c r="F1869" s="3"/>
      <c r="G1869" s="148"/>
      <c r="H1869" s="139"/>
      <c r="I1869" s="140"/>
      <c r="J1869" s="139"/>
    </row>
    <row r="1870" spans="5:10" x14ac:dyDescent="0.3">
      <c r="E1870" s="3"/>
      <c r="F1870" s="3"/>
      <c r="G1870" s="148"/>
      <c r="H1870" s="139"/>
      <c r="I1870" s="140"/>
      <c r="J1870" s="139"/>
    </row>
    <row r="1871" spans="5:10" x14ac:dyDescent="0.3">
      <c r="E1871" s="3"/>
      <c r="F1871" s="3"/>
      <c r="G1871" s="148"/>
      <c r="H1871" s="139"/>
      <c r="I1871" s="140"/>
      <c r="J1871" s="139"/>
    </row>
    <row r="1872" spans="5:10" x14ac:dyDescent="0.3">
      <c r="E1872" s="3"/>
      <c r="F1872" s="3"/>
      <c r="G1872" s="148"/>
      <c r="H1872" s="139"/>
      <c r="I1872" s="140"/>
      <c r="J1872" s="139"/>
    </row>
    <row r="1873" spans="5:10" x14ac:dyDescent="0.3">
      <c r="E1873" s="3"/>
      <c r="F1873" s="3"/>
      <c r="G1873" s="148"/>
      <c r="H1873" s="139"/>
      <c r="I1873" s="140"/>
      <c r="J1873" s="139"/>
    </row>
    <row r="1874" spans="5:10" x14ac:dyDescent="0.3">
      <c r="E1874" s="3"/>
      <c r="F1874" s="3"/>
      <c r="G1874" s="148"/>
      <c r="H1874" s="139"/>
      <c r="I1874" s="140"/>
      <c r="J1874" s="139"/>
    </row>
    <row r="1875" spans="5:10" x14ac:dyDescent="0.3">
      <c r="E1875" s="3"/>
      <c r="F1875" s="3"/>
      <c r="G1875" s="148"/>
      <c r="H1875" s="139"/>
      <c r="I1875" s="140"/>
      <c r="J1875" s="139"/>
    </row>
    <row r="1876" spans="5:10" x14ac:dyDescent="0.3">
      <c r="E1876" s="3"/>
      <c r="F1876" s="3"/>
      <c r="G1876" s="148"/>
      <c r="H1876" s="139"/>
      <c r="I1876" s="140"/>
      <c r="J1876" s="139"/>
    </row>
    <row r="1877" spans="5:10" x14ac:dyDescent="0.3">
      <c r="E1877" s="3"/>
      <c r="F1877" s="3"/>
      <c r="G1877" s="148"/>
      <c r="H1877" s="139"/>
      <c r="I1877" s="140"/>
      <c r="J1877" s="139"/>
    </row>
    <row r="1878" spans="5:10" x14ac:dyDescent="0.3">
      <c r="E1878" s="3"/>
      <c r="F1878" s="3"/>
      <c r="G1878" s="148"/>
      <c r="H1878" s="139"/>
      <c r="I1878" s="140"/>
      <c r="J1878" s="139"/>
    </row>
    <row r="1879" spans="5:10" x14ac:dyDescent="0.3">
      <c r="E1879" s="3"/>
      <c r="F1879" s="3"/>
      <c r="G1879" s="148"/>
      <c r="H1879" s="139"/>
      <c r="I1879" s="140"/>
      <c r="J1879" s="139"/>
    </row>
    <row r="1880" spans="5:10" x14ac:dyDescent="0.3">
      <c r="E1880" s="3"/>
      <c r="F1880" s="3"/>
      <c r="G1880" s="148"/>
      <c r="H1880" s="139"/>
      <c r="I1880" s="140"/>
      <c r="J1880" s="139"/>
    </row>
    <row r="1881" spans="5:10" x14ac:dyDescent="0.3">
      <c r="E1881" s="3"/>
      <c r="F1881" s="3"/>
      <c r="G1881" s="148"/>
      <c r="H1881" s="139"/>
      <c r="I1881" s="140"/>
      <c r="J1881" s="139"/>
    </row>
    <row r="1882" spans="5:10" x14ac:dyDescent="0.3">
      <c r="E1882" s="3"/>
      <c r="F1882" s="3"/>
      <c r="G1882" s="148"/>
      <c r="H1882" s="139"/>
      <c r="I1882" s="140"/>
      <c r="J1882" s="139"/>
    </row>
    <row r="1883" spans="5:10" x14ac:dyDescent="0.3">
      <c r="E1883" s="3"/>
      <c r="F1883" s="3"/>
      <c r="G1883" s="148"/>
      <c r="H1883" s="139"/>
      <c r="I1883" s="140"/>
      <c r="J1883" s="139"/>
    </row>
    <row r="1884" spans="5:10" x14ac:dyDescent="0.3">
      <c r="E1884" s="3"/>
      <c r="F1884" s="3"/>
      <c r="G1884" s="148"/>
      <c r="H1884" s="139"/>
      <c r="I1884" s="140"/>
      <c r="J1884" s="139"/>
    </row>
    <row r="1885" spans="5:10" x14ac:dyDescent="0.3">
      <c r="E1885" s="3"/>
      <c r="F1885" s="3"/>
      <c r="G1885" s="148"/>
      <c r="H1885" s="139"/>
      <c r="I1885" s="140"/>
      <c r="J1885" s="139"/>
    </row>
    <row r="1886" spans="5:10" x14ac:dyDescent="0.3">
      <c r="E1886" s="3"/>
      <c r="F1886" s="3"/>
      <c r="G1886" s="148"/>
      <c r="H1886" s="139"/>
      <c r="I1886" s="140"/>
      <c r="J1886" s="139"/>
    </row>
    <row r="1887" spans="5:10" x14ac:dyDescent="0.3">
      <c r="E1887" s="3"/>
      <c r="F1887" s="3"/>
      <c r="G1887" s="148"/>
      <c r="H1887" s="139"/>
      <c r="I1887" s="140"/>
      <c r="J1887" s="139"/>
    </row>
    <row r="1888" spans="5:10" x14ac:dyDescent="0.3">
      <c r="E1888" s="3"/>
      <c r="F1888" s="3"/>
      <c r="G1888" s="148"/>
      <c r="H1888" s="139"/>
      <c r="I1888" s="140"/>
      <c r="J1888" s="139"/>
    </row>
    <row r="1889" spans="5:10" x14ac:dyDescent="0.3">
      <c r="E1889" s="3"/>
      <c r="F1889" s="3"/>
      <c r="G1889" s="148"/>
      <c r="H1889" s="139"/>
      <c r="I1889" s="140"/>
      <c r="J1889" s="139"/>
    </row>
    <row r="1890" spans="5:10" x14ac:dyDescent="0.3">
      <c r="E1890" s="3"/>
      <c r="F1890" s="3"/>
      <c r="G1890" s="148"/>
      <c r="H1890" s="139"/>
      <c r="I1890" s="140"/>
      <c r="J1890" s="139"/>
    </row>
    <row r="1891" spans="5:10" x14ac:dyDescent="0.3">
      <c r="E1891" s="3"/>
      <c r="F1891" s="3"/>
      <c r="G1891" s="148"/>
      <c r="H1891" s="139"/>
      <c r="I1891" s="140"/>
      <c r="J1891" s="139"/>
    </row>
    <row r="1892" spans="5:10" x14ac:dyDescent="0.3">
      <c r="E1892" s="3"/>
      <c r="F1892" s="3"/>
      <c r="G1892" s="148"/>
      <c r="H1892" s="139"/>
      <c r="I1892" s="140"/>
      <c r="J1892" s="139"/>
    </row>
    <row r="1893" spans="5:10" x14ac:dyDescent="0.3">
      <c r="E1893" s="3"/>
      <c r="F1893" s="3"/>
      <c r="G1893" s="148"/>
      <c r="H1893" s="139"/>
      <c r="I1893" s="140"/>
      <c r="J1893" s="139"/>
    </row>
    <row r="1894" spans="5:10" x14ac:dyDescent="0.3">
      <c r="E1894" s="3"/>
      <c r="F1894" s="3"/>
      <c r="G1894" s="148"/>
      <c r="H1894" s="139"/>
      <c r="I1894" s="140"/>
      <c r="J1894" s="139"/>
    </row>
    <row r="1895" spans="5:10" x14ac:dyDescent="0.3">
      <c r="E1895" s="3"/>
      <c r="F1895" s="3"/>
      <c r="G1895" s="148"/>
      <c r="H1895" s="139"/>
      <c r="I1895" s="140"/>
      <c r="J1895" s="139"/>
    </row>
    <row r="1896" spans="5:10" x14ac:dyDescent="0.3">
      <c r="E1896" s="3"/>
      <c r="F1896" s="3"/>
      <c r="G1896" s="148"/>
      <c r="H1896" s="139"/>
      <c r="I1896" s="140"/>
      <c r="J1896" s="139"/>
    </row>
    <row r="1897" spans="5:10" x14ac:dyDescent="0.3">
      <c r="E1897" s="3"/>
      <c r="F1897" s="3"/>
      <c r="G1897" s="148"/>
      <c r="H1897" s="139"/>
      <c r="I1897" s="140"/>
      <c r="J1897" s="139"/>
    </row>
    <row r="1898" spans="5:10" x14ac:dyDescent="0.3">
      <c r="E1898" s="3"/>
      <c r="F1898" s="3"/>
      <c r="G1898" s="148"/>
      <c r="H1898" s="139"/>
      <c r="I1898" s="140"/>
      <c r="J1898" s="139"/>
    </row>
    <row r="1899" spans="5:10" x14ac:dyDescent="0.3">
      <c r="E1899" s="3"/>
      <c r="F1899" s="3"/>
      <c r="G1899" s="148"/>
      <c r="H1899" s="139"/>
      <c r="I1899" s="140"/>
      <c r="J1899" s="139"/>
    </row>
    <row r="1900" spans="5:10" x14ac:dyDescent="0.3">
      <c r="E1900" s="3"/>
      <c r="F1900" s="3"/>
      <c r="G1900" s="148"/>
      <c r="H1900" s="139"/>
      <c r="I1900" s="140"/>
      <c r="J1900" s="139"/>
    </row>
    <row r="1901" spans="5:10" x14ac:dyDescent="0.3">
      <c r="E1901" s="3"/>
      <c r="F1901" s="3"/>
      <c r="G1901" s="148"/>
      <c r="H1901" s="139"/>
      <c r="I1901" s="140"/>
      <c r="J1901" s="139"/>
    </row>
    <row r="1902" spans="5:10" x14ac:dyDescent="0.3">
      <c r="E1902" s="3"/>
      <c r="F1902" s="3"/>
      <c r="G1902" s="148"/>
      <c r="H1902" s="139"/>
      <c r="I1902" s="140"/>
      <c r="J1902" s="139"/>
    </row>
    <row r="1903" spans="5:10" x14ac:dyDescent="0.3">
      <c r="E1903" s="3"/>
      <c r="F1903" s="3"/>
      <c r="G1903" s="148"/>
      <c r="H1903" s="139"/>
      <c r="I1903" s="140"/>
      <c r="J1903" s="139"/>
    </row>
    <row r="1904" spans="5:10" x14ac:dyDescent="0.3">
      <c r="E1904" s="3"/>
      <c r="F1904" s="3"/>
      <c r="G1904" s="148"/>
      <c r="H1904" s="139"/>
      <c r="I1904" s="140"/>
      <c r="J1904" s="139"/>
    </row>
    <row r="1905" spans="5:10" x14ac:dyDescent="0.3">
      <c r="E1905" s="3"/>
      <c r="F1905" s="3"/>
      <c r="G1905" s="148"/>
      <c r="H1905" s="139"/>
      <c r="I1905" s="140"/>
      <c r="J1905" s="139"/>
    </row>
    <row r="1906" spans="5:10" x14ac:dyDescent="0.3">
      <c r="E1906" s="3"/>
      <c r="F1906" s="3"/>
      <c r="G1906" s="148"/>
      <c r="H1906" s="139"/>
      <c r="I1906" s="140"/>
      <c r="J1906" s="139"/>
    </row>
    <row r="1907" spans="5:10" x14ac:dyDescent="0.3">
      <c r="E1907" s="3"/>
      <c r="F1907" s="3"/>
      <c r="G1907" s="148"/>
      <c r="H1907" s="139"/>
      <c r="I1907" s="140"/>
      <c r="J1907" s="139"/>
    </row>
    <row r="1908" spans="5:10" x14ac:dyDescent="0.3">
      <c r="E1908" s="3"/>
      <c r="F1908" s="3"/>
      <c r="G1908" s="148"/>
      <c r="H1908" s="139"/>
      <c r="I1908" s="140"/>
      <c r="J1908" s="139"/>
    </row>
    <row r="1909" spans="5:10" x14ac:dyDescent="0.3">
      <c r="E1909" s="3"/>
      <c r="F1909" s="3"/>
      <c r="G1909" s="148"/>
      <c r="H1909" s="139"/>
      <c r="I1909" s="140"/>
      <c r="J1909" s="139"/>
    </row>
    <row r="1910" spans="5:10" x14ac:dyDescent="0.3">
      <c r="E1910" s="3"/>
      <c r="F1910" s="3"/>
      <c r="G1910" s="148"/>
      <c r="H1910" s="139"/>
      <c r="I1910" s="140"/>
      <c r="J1910" s="139"/>
    </row>
    <row r="1911" spans="5:10" x14ac:dyDescent="0.3">
      <c r="E1911" s="3"/>
      <c r="F1911" s="3"/>
      <c r="G1911" s="148"/>
      <c r="H1911" s="139"/>
      <c r="I1911" s="140"/>
      <c r="J1911" s="139"/>
    </row>
    <row r="1912" spans="5:10" x14ac:dyDescent="0.3">
      <c r="E1912" s="3"/>
      <c r="F1912" s="3"/>
      <c r="G1912" s="148"/>
      <c r="H1912" s="139"/>
      <c r="I1912" s="140"/>
      <c r="J1912" s="139"/>
    </row>
    <row r="1913" spans="5:10" x14ac:dyDescent="0.3">
      <c r="E1913" s="3"/>
      <c r="F1913" s="3"/>
      <c r="G1913" s="148"/>
      <c r="H1913" s="139"/>
      <c r="I1913" s="140"/>
      <c r="J1913" s="139"/>
    </row>
    <row r="1914" spans="5:10" x14ac:dyDescent="0.3">
      <c r="E1914" s="3"/>
      <c r="F1914" s="3"/>
      <c r="G1914" s="148"/>
      <c r="H1914" s="139"/>
      <c r="I1914" s="140"/>
      <c r="J1914" s="139"/>
    </row>
    <row r="1915" spans="5:10" x14ac:dyDescent="0.3">
      <c r="E1915" s="3"/>
      <c r="F1915" s="3"/>
      <c r="G1915" s="148"/>
      <c r="H1915" s="139"/>
      <c r="I1915" s="140"/>
      <c r="J1915" s="139"/>
    </row>
    <row r="1916" spans="5:10" x14ac:dyDescent="0.3">
      <c r="E1916" s="3"/>
      <c r="F1916" s="3"/>
      <c r="G1916" s="148"/>
      <c r="H1916" s="139"/>
      <c r="I1916" s="140"/>
      <c r="J1916" s="139"/>
    </row>
    <row r="1917" spans="5:10" x14ac:dyDescent="0.3">
      <c r="E1917" s="3"/>
      <c r="F1917" s="3"/>
      <c r="G1917" s="148"/>
      <c r="H1917" s="139"/>
      <c r="I1917" s="140"/>
      <c r="J1917" s="139"/>
    </row>
    <row r="1918" spans="5:10" x14ac:dyDescent="0.3">
      <c r="E1918" s="3"/>
      <c r="F1918" s="3"/>
      <c r="G1918" s="148"/>
      <c r="H1918" s="139"/>
      <c r="I1918" s="140"/>
      <c r="J1918" s="139"/>
    </row>
    <row r="1919" spans="5:10" x14ac:dyDescent="0.3">
      <c r="E1919" s="3"/>
      <c r="F1919" s="3"/>
      <c r="G1919" s="148"/>
      <c r="H1919" s="139"/>
      <c r="I1919" s="140"/>
      <c r="J1919" s="139"/>
    </row>
    <row r="1920" spans="5:10" x14ac:dyDescent="0.3">
      <c r="E1920" s="3"/>
      <c r="F1920" s="3"/>
      <c r="G1920" s="148"/>
      <c r="H1920" s="139"/>
      <c r="I1920" s="140"/>
      <c r="J1920" s="139"/>
    </row>
    <row r="1921" spans="5:10" x14ac:dyDescent="0.3">
      <c r="E1921" s="3"/>
      <c r="F1921" s="3"/>
      <c r="G1921" s="148"/>
      <c r="H1921" s="139"/>
      <c r="I1921" s="140"/>
      <c r="J1921" s="139"/>
    </row>
    <row r="1922" spans="5:10" x14ac:dyDescent="0.3">
      <c r="E1922" s="3"/>
      <c r="F1922" s="3"/>
      <c r="G1922" s="148"/>
      <c r="H1922" s="139"/>
      <c r="I1922" s="140"/>
      <c r="J1922" s="139"/>
    </row>
    <row r="1923" spans="5:10" x14ac:dyDescent="0.3">
      <c r="E1923" s="3"/>
      <c r="F1923" s="3"/>
      <c r="G1923" s="148"/>
      <c r="H1923" s="139"/>
      <c r="I1923" s="140"/>
      <c r="J1923" s="139"/>
    </row>
    <row r="1924" spans="5:10" x14ac:dyDescent="0.3">
      <c r="E1924" s="3"/>
      <c r="F1924" s="3"/>
      <c r="G1924" s="148"/>
      <c r="H1924" s="139"/>
      <c r="I1924" s="140"/>
      <c r="J1924" s="139"/>
    </row>
    <row r="1925" spans="5:10" x14ac:dyDescent="0.3">
      <c r="E1925" s="3"/>
      <c r="F1925" s="3"/>
      <c r="G1925" s="148"/>
      <c r="H1925" s="139"/>
      <c r="I1925" s="140"/>
      <c r="J1925" s="139"/>
    </row>
    <row r="1926" spans="5:10" x14ac:dyDescent="0.3">
      <c r="E1926" s="3"/>
      <c r="F1926" s="3"/>
      <c r="G1926" s="148"/>
      <c r="H1926" s="139"/>
      <c r="I1926" s="140"/>
      <c r="J1926" s="139"/>
    </row>
    <row r="1927" spans="5:10" x14ac:dyDescent="0.3">
      <c r="E1927" s="3"/>
      <c r="F1927" s="3"/>
      <c r="G1927" s="148"/>
      <c r="H1927" s="139"/>
      <c r="I1927" s="140"/>
      <c r="J1927" s="139"/>
    </row>
    <row r="1928" spans="5:10" x14ac:dyDescent="0.3">
      <c r="E1928" s="3"/>
      <c r="F1928" s="3"/>
      <c r="G1928" s="148"/>
      <c r="H1928" s="139"/>
      <c r="I1928" s="140"/>
      <c r="J1928" s="139"/>
    </row>
    <row r="1929" spans="5:10" x14ac:dyDescent="0.3">
      <c r="E1929" s="3"/>
      <c r="F1929" s="3"/>
      <c r="G1929" s="148"/>
      <c r="H1929" s="139"/>
      <c r="I1929" s="140"/>
      <c r="J1929" s="139"/>
    </row>
    <row r="1930" spans="5:10" x14ac:dyDescent="0.3">
      <c r="E1930" s="3"/>
      <c r="F1930" s="3"/>
      <c r="G1930" s="148"/>
      <c r="H1930" s="139"/>
      <c r="I1930" s="140"/>
      <c r="J1930" s="139"/>
    </row>
    <row r="1931" spans="5:10" x14ac:dyDescent="0.3">
      <c r="E1931" s="3"/>
      <c r="F1931" s="3"/>
      <c r="G1931" s="148"/>
      <c r="H1931" s="139"/>
      <c r="I1931" s="140"/>
      <c r="J1931" s="139"/>
    </row>
    <row r="1932" spans="5:10" x14ac:dyDescent="0.3">
      <c r="E1932" s="3"/>
      <c r="F1932" s="3"/>
      <c r="G1932" s="148"/>
      <c r="H1932" s="139"/>
      <c r="I1932" s="140"/>
      <c r="J1932" s="139"/>
    </row>
    <row r="1933" spans="5:10" x14ac:dyDescent="0.3">
      <c r="E1933" s="3"/>
      <c r="F1933" s="3"/>
      <c r="G1933" s="148"/>
      <c r="H1933" s="139"/>
      <c r="I1933" s="140"/>
      <c r="J1933" s="139"/>
    </row>
    <row r="1934" spans="5:10" x14ac:dyDescent="0.3">
      <c r="E1934" s="3"/>
      <c r="F1934" s="3"/>
      <c r="G1934" s="148"/>
      <c r="H1934" s="139"/>
      <c r="I1934" s="140"/>
      <c r="J1934" s="139"/>
    </row>
    <row r="1935" spans="5:10" x14ac:dyDescent="0.3">
      <c r="E1935" s="3"/>
      <c r="F1935" s="3"/>
      <c r="G1935" s="148"/>
      <c r="H1935" s="139"/>
      <c r="I1935" s="140"/>
      <c r="J1935" s="139"/>
    </row>
    <row r="1936" spans="5:10" x14ac:dyDescent="0.3">
      <c r="E1936" s="3"/>
      <c r="F1936" s="3"/>
      <c r="G1936" s="148"/>
      <c r="H1936" s="139"/>
      <c r="I1936" s="140"/>
      <c r="J1936" s="139"/>
    </row>
    <row r="1937" spans="5:10" x14ac:dyDescent="0.3">
      <c r="E1937" s="3"/>
      <c r="F1937" s="3"/>
      <c r="G1937" s="148"/>
      <c r="H1937" s="139"/>
      <c r="I1937" s="140"/>
      <c r="J1937" s="139"/>
    </row>
    <row r="1938" spans="5:10" x14ac:dyDescent="0.3">
      <c r="E1938" s="3"/>
      <c r="F1938" s="3"/>
      <c r="G1938" s="148"/>
      <c r="H1938" s="139"/>
      <c r="I1938" s="140"/>
      <c r="J1938" s="139"/>
    </row>
    <row r="1939" spans="5:10" x14ac:dyDescent="0.3">
      <c r="E1939" s="3"/>
      <c r="F1939" s="3"/>
      <c r="G1939" s="148"/>
      <c r="H1939" s="139"/>
      <c r="I1939" s="140"/>
      <c r="J1939" s="139"/>
    </row>
    <row r="1940" spans="5:10" x14ac:dyDescent="0.3">
      <c r="E1940" s="3"/>
      <c r="F1940" s="3"/>
      <c r="G1940" s="148"/>
      <c r="H1940" s="139"/>
      <c r="I1940" s="140"/>
      <c r="J1940" s="139"/>
    </row>
    <row r="1941" spans="5:10" x14ac:dyDescent="0.3">
      <c r="E1941" s="3"/>
      <c r="F1941" s="3"/>
      <c r="G1941" s="148"/>
      <c r="H1941" s="139"/>
      <c r="I1941" s="140"/>
      <c r="J1941" s="139"/>
    </row>
    <row r="1942" spans="5:10" x14ac:dyDescent="0.3">
      <c r="E1942" s="3"/>
      <c r="F1942" s="3"/>
      <c r="G1942" s="148"/>
      <c r="H1942" s="139"/>
      <c r="I1942" s="140"/>
      <c r="J1942" s="139"/>
    </row>
    <row r="1943" spans="5:10" x14ac:dyDescent="0.3">
      <c r="E1943" s="3"/>
      <c r="F1943" s="3"/>
      <c r="G1943" s="148"/>
      <c r="H1943" s="139"/>
      <c r="I1943" s="140"/>
      <c r="J1943" s="139"/>
    </row>
    <row r="1944" spans="5:10" x14ac:dyDescent="0.3">
      <c r="E1944" s="3"/>
      <c r="F1944" s="3"/>
      <c r="G1944" s="148"/>
      <c r="H1944" s="139"/>
      <c r="I1944" s="140"/>
      <c r="J1944" s="139"/>
    </row>
    <row r="1945" spans="5:10" x14ac:dyDescent="0.3">
      <c r="E1945" s="3"/>
      <c r="F1945" s="3"/>
      <c r="G1945" s="148"/>
      <c r="H1945" s="139"/>
      <c r="I1945" s="140"/>
      <c r="J1945" s="139"/>
    </row>
    <row r="1946" spans="5:10" x14ac:dyDescent="0.3">
      <c r="E1946" s="3"/>
      <c r="F1946" s="3"/>
      <c r="G1946" s="148"/>
      <c r="H1946" s="139"/>
      <c r="I1946" s="140"/>
      <c r="J1946" s="139"/>
    </row>
    <row r="1947" spans="5:10" x14ac:dyDescent="0.3">
      <c r="E1947" s="3"/>
      <c r="F1947" s="3"/>
      <c r="G1947" s="148"/>
      <c r="H1947" s="139"/>
      <c r="I1947" s="140"/>
      <c r="J1947" s="139"/>
    </row>
    <row r="1948" spans="5:10" x14ac:dyDescent="0.3">
      <c r="E1948" s="3"/>
      <c r="F1948" s="3"/>
      <c r="G1948" s="148"/>
      <c r="H1948" s="139"/>
      <c r="I1948" s="140"/>
      <c r="J1948" s="139"/>
    </row>
    <row r="1949" spans="5:10" x14ac:dyDescent="0.3">
      <c r="E1949" s="3"/>
      <c r="F1949" s="3"/>
      <c r="G1949" s="148"/>
      <c r="H1949" s="139"/>
      <c r="I1949" s="140"/>
      <c r="J1949" s="139"/>
    </row>
    <row r="1950" spans="5:10" x14ac:dyDescent="0.3">
      <c r="E1950" s="3"/>
      <c r="F1950" s="3"/>
      <c r="G1950" s="148"/>
      <c r="H1950" s="139"/>
      <c r="I1950" s="140"/>
      <c r="J1950" s="139"/>
    </row>
    <row r="1951" spans="5:10" x14ac:dyDescent="0.3">
      <c r="E1951" s="3"/>
      <c r="F1951" s="3"/>
      <c r="G1951" s="148"/>
      <c r="H1951" s="139"/>
      <c r="I1951" s="140"/>
      <c r="J1951" s="139"/>
    </row>
    <row r="1952" spans="5:10" x14ac:dyDescent="0.3">
      <c r="E1952" s="3"/>
      <c r="F1952" s="3"/>
      <c r="G1952" s="148"/>
      <c r="H1952" s="139"/>
      <c r="I1952" s="140"/>
      <c r="J1952" s="139"/>
    </row>
    <row r="1953" spans="5:10" x14ac:dyDescent="0.3">
      <c r="E1953" s="3"/>
      <c r="F1953" s="3"/>
      <c r="G1953" s="148"/>
      <c r="H1953" s="139"/>
      <c r="I1953" s="140"/>
      <c r="J1953" s="139"/>
    </row>
    <row r="1954" spans="5:10" x14ac:dyDescent="0.3">
      <c r="E1954" s="3"/>
      <c r="F1954" s="3"/>
      <c r="G1954" s="148"/>
      <c r="H1954" s="139"/>
      <c r="I1954" s="140"/>
      <c r="J1954" s="139"/>
    </row>
    <row r="1955" spans="5:10" x14ac:dyDescent="0.3">
      <c r="E1955" s="3"/>
      <c r="F1955" s="3"/>
      <c r="G1955" s="148"/>
      <c r="H1955" s="139"/>
      <c r="I1955" s="140"/>
      <c r="J1955" s="139"/>
    </row>
    <row r="1956" spans="5:10" x14ac:dyDescent="0.3">
      <c r="E1956" s="3"/>
      <c r="F1956" s="3"/>
      <c r="G1956" s="148"/>
      <c r="H1956" s="139"/>
      <c r="I1956" s="140"/>
      <c r="J1956" s="139"/>
    </row>
    <row r="1957" spans="5:10" x14ac:dyDescent="0.3">
      <c r="E1957" s="3"/>
      <c r="F1957" s="3"/>
      <c r="G1957" s="148"/>
      <c r="H1957" s="139"/>
      <c r="I1957" s="140"/>
      <c r="J1957" s="139"/>
    </row>
    <row r="1958" spans="5:10" x14ac:dyDescent="0.3">
      <c r="E1958" s="3"/>
      <c r="F1958" s="3"/>
      <c r="G1958" s="148"/>
      <c r="H1958" s="139"/>
      <c r="I1958" s="140"/>
      <c r="J1958" s="139"/>
    </row>
    <row r="1959" spans="5:10" x14ac:dyDescent="0.3">
      <c r="E1959" s="3"/>
      <c r="F1959" s="3"/>
      <c r="G1959" s="148"/>
      <c r="H1959" s="139"/>
      <c r="I1959" s="140"/>
      <c r="J1959" s="139"/>
    </row>
    <row r="1960" spans="5:10" x14ac:dyDescent="0.3">
      <c r="E1960" s="3"/>
      <c r="F1960" s="3"/>
      <c r="G1960" s="148"/>
      <c r="H1960" s="139"/>
      <c r="I1960" s="140"/>
      <c r="J1960" s="139"/>
    </row>
    <row r="1961" spans="5:10" x14ac:dyDescent="0.3">
      <c r="E1961" s="3"/>
      <c r="F1961" s="3"/>
      <c r="G1961" s="148"/>
      <c r="H1961" s="139"/>
      <c r="I1961" s="140"/>
      <c r="J1961" s="139"/>
    </row>
    <row r="1962" spans="5:10" x14ac:dyDescent="0.3">
      <c r="E1962" s="3"/>
      <c r="F1962" s="3"/>
      <c r="G1962" s="148"/>
      <c r="H1962" s="139"/>
      <c r="I1962" s="140"/>
      <c r="J1962" s="139"/>
    </row>
    <row r="1963" spans="5:10" x14ac:dyDescent="0.3">
      <c r="E1963" s="3"/>
      <c r="F1963" s="3"/>
      <c r="G1963" s="148"/>
      <c r="H1963" s="139"/>
      <c r="I1963" s="140"/>
      <c r="J1963" s="139"/>
    </row>
    <row r="1964" spans="5:10" x14ac:dyDescent="0.3">
      <c r="E1964" s="3"/>
      <c r="F1964" s="3"/>
      <c r="G1964" s="148"/>
      <c r="H1964" s="139"/>
      <c r="I1964" s="140"/>
      <c r="J1964" s="139"/>
    </row>
    <row r="1965" spans="5:10" x14ac:dyDescent="0.3">
      <c r="E1965" s="3"/>
      <c r="F1965" s="3"/>
      <c r="G1965" s="148"/>
      <c r="H1965" s="139"/>
      <c r="I1965" s="140"/>
      <c r="J1965" s="139"/>
    </row>
    <row r="1966" spans="5:10" x14ac:dyDescent="0.3">
      <c r="E1966" s="3"/>
      <c r="F1966" s="3"/>
      <c r="G1966" s="148"/>
      <c r="H1966" s="139"/>
      <c r="I1966" s="140"/>
      <c r="J1966" s="139"/>
    </row>
    <row r="1967" spans="5:10" x14ac:dyDescent="0.3">
      <c r="E1967" s="3"/>
      <c r="F1967" s="3"/>
      <c r="G1967" s="148"/>
      <c r="H1967" s="139"/>
      <c r="I1967" s="140"/>
      <c r="J1967" s="139"/>
    </row>
    <row r="1968" spans="5:10" x14ac:dyDescent="0.3">
      <c r="E1968" s="3"/>
      <c r="F1968" s="3"/>
      <c r="G1968" s="148"/>
      <c r="H1968" s="139"/>
      <c r="I1968" s="140"/>
      <c r="J1968" s="139"/>
    </row>
    <row r="1969" spans="5:10" x14ac:dyDescent="0.3">
      <c r="E1969" s="3"/>
      <c r="F1969" s="3"/>
      <c r="G1969" s="148"/>
      <c r="H1969" s="139"/>
      <c r="I1969" s="140"/>
      <c r="J1969" s="139"/>
    </row>
    <row r="1970" spans="5:10" x14ac:dyDescent="0.3">
      <c r="E1970" s="3"/>
      <c r="F1970" s="3"/>
      <c r="G1970" s="148"/>
      <c r="H1970" s="139"/>
      <c r="I1970" s="140"/>
      <c r="J1970" s="139"/>
    </row>
    <row r="1971" spans="5:10" x14ac:dyDescent="0.3">
      <c r="E1971" s="3"/>
      <c r="F1971" s="3"/>
      <c r="G1971" s="148"/>
      <c r="H1971" s="139"/>
      <c r="I1971" s="140"/>
      <c r="J1971" s="139"/>
    </row>
    <row r="1972" spans="5:10" x14ac:dyDescent="0.3">
      <c r="E1972" s="3"/>
      <c r="F1972" s="3"/>
      <c r="G1972" s="148"/>
      <c r="H1972" s="139"/>
      <c r="I1972" s="140"/>
      <c r="J1972" s="139"/>
    </row>
    <row r="1973" spans="5:10" x14ac:dyDescent="0.3">
      <c r="E1973" s="3"/>
      <c r="F1973" s="3"/>
      <c r="G1973" s="148"/>
      <c r="H1973" s="139"/>
      <c r="I1973" s="140"/>
      <c r="J1973" s="139"/>
    </row>
    <row r="1974" spans="5:10" x14ac:dyDescent="0.3">
      <c r="E1974" s="3"/>
      <c r="F1974" s="3"/>
      <c r="G1974" s="148"/>
      <c r="H1974" s="139"/>
      <c r="I1974" s="140"/>
      <c r="J1974" s="139"/>
    </row>
    <row r="1975" spans="5:10" x14ac:dyDescent="0.3">
      <c r="E1975" s="3"/>
      <c r="F1975" s="3"/>
      <c r="G1975" s="148"/>
      <c r="H1975" s="139"/>
      <c r="I1975" s="140"/>
      <c r="J1975" s="139"/>
    </row>
    <row r="1976" spans="5:10" x14ac:dyDescent="0.3">
      <c r="E1976" s="3"/>
      <c r="F1976" s="3"/>
      <c r="G1976" s="148"/>
      <c r="H1976" s="139"/>
      <c r="I1976" s="140"/>
      <c r="J1976" s="139"/>
    </row>
    <row r="1977" spans="5:10" x14ac:dyDescent="0.3">
      <c r="E1977" s="3"/>
      <c r="F1977" s="3"/>
      <c r="G1977" s="148"/>
      <c r="H1977" s="139"/>
      <c r="I1977" s="140"/>
      <c r="J1977" s="139"/>
    </row>
    <row r="1978" spans="5:10" x14ac:dyDescent="0.3">
      <c r="E1978" s="3"/>
      <c r="F1978" s="3"/>
      <c r="G1978" s="148"/>
      <c r="H1978" s="139"/>
      <c r="I1978" s="140"/>
      <c r="J1978" s="139"/>
    </row>
    <row r="1979" spans="5:10" x14ac:dyDescent="0.3">
      <c r="E1979" s="3"/>
      <c r="F1979" s="3"/>
      <c r="G1979" s="148"/>
      <c r="H1979" s="139"/>
      <c r="I1979" s="140"/>
      <c r="J1979" s="139"/>
    </row>
    <row r="1980" spans="5:10" x14ac:dyDescent="0.3">
      <c r="E1980" s="3"/>
      <c r="F1980" s="3"/>
      <c r="G1980" s="148"/>
      <c r="H1980" s="139"/>
      <c r="I1980" s="140"/>
      <c r="J1980" s="139"/>
    </row>
    <row r="1981" spans="5:10" x14ac:dyDescent="0.3">
      <c r="E1981" s="3"/>
      <c r="F1981" s="3"/>
      <c r="G1981" s="148"/>
      <c r="H1981" s="139"/>
      <c r="I1981" s="140"/>
      <c r="J1981" s="139"/>
    </row>
    <row r="1982" spans="5:10" x14ac:dyDescent="0.3">
      <c r="E1982" s="3"/>
      <c r="F1982" s="3"/>
      <c r="G1982" s="148"/>
      <c r="H1982" s="139"/>
      <c r="I1982" s="140"/>
      <c r="J1982" s="139"/>
    </row>
    <row r="1983" spans="5:10" x14ac:dyDescent="0.3">
      <c r="E1983" s="3"/>
      <c r="F1983" s="3"/>
      <c r="G1983" s="148"/>
      <c r="H1983" s="139"/>
      <c r="I1983" s="140"/>
      <c r="J1983" s="139"/>
    </row>
    <row r="1984" spans="5:10" x14ac:dyDescent="0.3">
      <c r="E1984" s="3"/>
      <c r="F1984" s="3"/>
      <c r="G1984" s="148"/>
      <c r="H1984" s="139"/>
      <c r="I1984" s="140"/>
      <c r="J1984" s="139"/>
    </row>
    <row r="1985" spans="5:10" x14ac:dyDescent="0.3">
      <c r="E1985" s="3"/>
      <c r="F1985" s="3"/>
      <c r="G1985" s="148"/>
      <c r="H1985" s="139"/>
      <c r="I1985" s="140"/>
      <c r="J1985" s="139"/>
    </row>
    <row r="1986" spans="5:10" x14ac:dyDescent="0.3">
      <c r="E1986" s="3"/>
      <c r="F1986" s="3"/>
      <c r="G1986" s="148"/>
      <c r="H1986" s="139"/>
      <c r="I1986" s="140"/>
      <c r="J1986" s="139"/>
    </row>
    <row r="1987" spans="5:10" x14ac:dyDescent="0.3">
      <c r="E1987" s="3"/>
      <c r="F1987" s="3"/>
      <c r="G1987" s="148"/>
      <c r="H1987" s="139"/>
      <c r="I1987" s="140"/>
      <c r="J1987" s="139"/>
    </row>
    <row r="1988" spans="5:10" x14ac:dyDescent="0.3">
      <c r="E1988" s="3"/>
      <c r="F1988" s="3"/>
      <c r="G1988" s="148"/>
      <c r="H1988" s="139"/>
      <c r="I1988" s="140"/>
      <c r="J1988" s="139"/>
    </row>
    <row r="1989" spans="5:10" x14ac:dyDescent="0.3">
      <c r="E1989" s="3"/>
      <c r="F1989" s="3"/>
      <c r="G1989" s="148"/>
      <c r="H1989" s="139"/>
      <c r="I1989" s="140"/>
      <c r="J1989" s="139"/>
    </row>
    <row r="1990" spans="5:10" x14ac:dyDescent="0.3">
      <c r="E1990" s="3"/>
      <c r="F1990" s="3"/>
      <c r="G1990" s="148"/>
      <c r="H1990" s="139"/>
      <c r="I1990" s="140"/>
      <c r="J1990" s="139"/>
    </row>
    <row r="1991" spans="5:10" x14ac:dyDescent="0.3">
      <c r="E1991" s="3"/>
      <c r="F1991" s="3"/>
      <c r="G1991" s="148"/>
      <c r="H1991" s="139"/>
      <c r="I1991" s="140"/>
      <c r="J1991" s="139"/>
    </row>
    <row r="1992" spans="5:10" x14ac:dyDescent="0.3">
      <c r="E1992" s="3"/>
      <c r="F1992" s="3"/>
      <c r="G1992" s="148"/>
      <c r="H1992" s="139"/>
      <c r="I1992" s="140"/>
      <c r="J1992" s="139"/>
    </row>
    <row r="1993" spans="5:10" x14ac:dyDescent="0.3">
      <c r="E1993" s="3"/>
      <c r="F1993" s="3"/>
      <c r="G1993" s="148"/>
      <c r="H1993" s="139"/>
      <c r="I1993" s="140"/>
      <c r="J1993" s="139"/>
    </row>
    <row r="1994" spans="5:10" x14ac:dyDescent="0.3">
      <c r="E1994" s="3"/>
      <c r="F1994" s="3"/>
      <c r="G1994" s="148"/>
      <c r="H1994" s="139"/>
      <c r="I1994" s="140"/>
      <c r="J1994" s="139"/>
    </row>
    <row r="1995" spans="5:10" x14ac:dyDescent="0.3">
      <c r="E1995" s="3"/>
      <c r="F1995" s="3"/>
      <c r="G1995" s="148"/>
      <c r="H1995" s="139"/>
      <c r="I1995" s="140"/>
      <c r="J1995" s="139"/>
    </row>
    <row r="1996" spans="5:10" x14ac:dyDescent="0.3">
      <c r="E1996" s="3"/>
      <c r="F1996" s="3"/>
      <c r="G1996" s="148"/>
      <c r="H1996" s="139"/>
      <c r="I1996" s="140"/>
      <c r="J1996" s="139"/>
    </row>
    <row r="1997" spans="5:10" x14ac:dyDescent="0.3">
      <c r="E1997" s="3"/>
      <c r="F1997" s="3"/>
      <c r="G1997" s="148"/>
      <c r="H1997" s="139"/>
      <c r="I1997" s="140"/>
      <c r="J1997" s="139"/>
    </row>
    <row r="1998" spans="5:10" x14ac:dyDescent="0.3">
      <c r="E1998" s="3"/>
      <c r="F1998" s="3"/>
      <c r="G1998" s="148"/>
      <c r="H1998" s="139"/>
      <c r="I1998" s="140"/>
      <c r="J1998" s="139"/>
    </row>
    <row r="1999" spans="5:10" x14ac:dyDescent="0.3">
      <c r="E1999" s="3"/>
      <c r="F1999" s="3"/>
      <c r="G1999" s="148"/>
      <c r="H1999" s="139"/>
      <c r="I1999" s="140"/>
      <c r="J1999" s="139"/>
    </row>
    <row r="2000" spans="5:10" x14ac:dyDescent="0.3">
      <c r="E2000" s="3"/>
      <c r="F2000" s="3"/>
      <c r="G2000" s="148"/>
      <c r="H2000" s="139"/>
      <c r="I2000" s="140"/>
      <c r="J2000" s="139"/>
    </row>
    <row r="2001" spans="5:10" x14ac:dyDescent="0.3">
      <c r="E2001" s="3"/>
      <c r="F2001" s="3"/>
      <c r="G2001" s="148"/>
      <c r="H2001" s="139"/>
      <c r="I2001" s="140"/>
      <c r="J2001" s="139"/>
    </row>
    <row r="2002" spans="5:10" x14ac:dyDescent="0.3">
      <c r="E2002" s="3"/>
      <c r="F2002" s="3"/>
      <c r="G2002" s="148"/>
      <c r="H2002" s="139"/>
      <c r="I2002" s="140"/>
      <c r="J2002" s="139"/>
    </row>
    <row r="2003" spans="5:10" x14ac:dyDescent="0.3">
      <c r="E2003" s="3"/>
      <c r="F2003" s="3"/>
      <c r="G2003" s="148"/>
      <c r="H2003" s="139"/>
      <c r="I2003" s="140"/>
      <c r="J2003" s="139"/>
    </row>
    <row r="2004" spans="5:10" x14ac:dyDescent="0.3">
      <c r="E2004" s="3"/>
      <c r="F2004" s="3"/>
      <c r="G2004" s="148"/>
      <c r="H2004" s="139"/>
      <c r="I2004" s="140"/>
      <c r="J2004" s="139"/>
    </row>
    <row r="2005" spans="5:10" x14ac:dyDescent="0.3">
      <c r="E2005" s="3"/>
      <c r="F2005" s="3"/>
      <c r="G2005" s="148"/>
      <c r="H2005" s="139"/>
      <c r="I2005" s="140"/>
      <c r="J2005" s="139"/>
    </row>
    <row r="2006" spans="5:10" x14ac:dyDescent="0.3">
      <c r="E2006" s="3"/>
      <c r="F2006" s="3"/>
      <c r="G2006" s="148"/>
      <c r="H2006" s="139"/>
      <c r="I2006" s="140"/>
      <c r="J2006" s="139"/>
    </row>
    <row r="2007" spans="5:10" x14ac:dyDescent="0.3">
      <c r="E2007" s="3"/>
      <c r="F2007" s="3"/>
      <c r="G2007" s="148"/>
      <c r="H2007" s="139"/>
      <c r="I2007" s="140"/>
      <c r="J2007" s="139"/>
    </row>
    <row r="2008" spans="5:10" x14ac:dyDescent="0.3">
      <c r="E2008" s="3"/>
      <c r="F2008" s="3"/>
      <c r="G2008" s="148"/>
      <c r="H2008" s="139"/>
      <c r="I2008" s="140"/>
      <c r="J2008" s="139"/>
    </row>
    <row r="2009" spans="5:10" x14ac:dyDescent="0.3">
      <c r="E2009" s="3"/>
      <c r="F2009" s="3"/>
      <c r="G2009" s="148"/>
      <c r="H2009" s="139"/>
      <c r="I2009" s="140"/>
      <c r="J2009" s="139"/>
    </row>
    <row r="2010" spans="5:10" x14ac:dyDescent="0.3">
      <c r="E2010" s="3"/>
      <c r="F2010" s="3"/>
      <c r="G2010" s="148"/>
      <c r="H2010" s="139"/>
      <c r="I2010" s="140"/>
      <c r="J2010" s="139"/>
    </row>
    <row r="2011" spans="5:10" x14ac:dyDescent="0.3">
      <c r="E2011" s="3"/>
      <c r="F2011" s="3"/>
      <c r="G2011" s="148"/>
      <c r="H2011" s="139"/>
      <c r="I2011" s="140"/>
      <c r="J2011" s="139"/>
    </row>
    <row r="2012" spans="5:10" x14ac:dyDescent="0.3">
      <c r="E2012" s="3"/>
      <c r="F2012" s="3"/>
      <c r="G2012" s="148"/>
      <c r="H2012" s="139"/>
      <c r="I2012" s="140"/>
      <c r="J2012" s="139"/>
    </row>
    <row r="2013" spans="5:10" x14ac:dyDescent="0.3">
      <c r="E2013" s="3"/>
      <c r="F2013" s="3"/>
      <c r="G2013" s="148"/>
      <c r="H2013" s="139"/>
      <c r="I2013" s="140"/>
      <c r="J2013" s="139"/>
    </row>
    <row r="2014" spans="5:10" x14ac:dyDescent="0.3">
      <c r="E2014" s="3"/>
      <c r="F2014" s="3"/>
      <c r="G2014" s="148"/>
      <c r="H2014" s="139"/>
      <c r="I2014" s="140"/>
      <c r="J2014" s="139"/>
    </row>
    <row r="2015" spans="5:10" x14ac:dyDescent="0.3">
      <c r="E2015" s="3"/>
      <c r="F2015" s="3"/>
      <c r="G2015" s="148"/>
      <c r="H2015" s="139"/>
      <c r="I2015" s="140"/>
      <c r="J2015" s="139"/>
    </row>
    <row r="2016" spans="5:10" x14ac:dyDescent="0.3">
      <c r="E2016" s="3"/>
      <c r="F2016" s="3"/>
      <c r="G2016" s="148"/>
      <c r="H2016" s="139"/>
      <c r="I2016" s="140"/>
      <c r="J2016" s="139"/>
    </row>
    <row r="2017" spans="5:10" x14ac:dyDescent="0.3">
      <c r="E2017" s="3"/>
      <c r="F2017" s="3"/>
      <c r="G2017" s="148"/>
      <c r="H2017" s="139"/>
      <c r="I2017" s="140"/>
      <c r="J2017" s="139"/>
    </row>
    <row r="2018" spans="5:10" x14ac:dyDescent="0.3">
      <c r="E2018" s="3"/>
      <c r="F2018" s="3"/>
      <c r="G2018" s="148"/>
      <c r="H2018" s="139"/>
      <c r="I2018" s="140"/>
      <c r="J2018" s="139"/>
    </row>
    <row r="2019" spans="5:10" x14ac:dyDescent="0.3">
      <c r="E2019" s="3"/>
      <c r="F2019" s="3"/>
      <c r="G2019" s="148"/>
      <c r="H2019" s="139"/>
      <c r="I2019" s="140"/>
      <c r="J2019" s="139"/>
    </row>
    <row r="2020" spans="5:10" x14ac:dyDescent="0.3">
      <c r="E2020" s="3"/>
      <c r="F2020" s="3"/>
      <c r="G2020" s="148"/>
      <c r="H2020" s="139"/>
      <c r="I2020" s="140"/>
      <c r="J2020" s="139"/>
    </row>
    <row r="2021" spans="5:10" x14ac:dyDescent="0.3">
      <c r="E2021" s="3"/>
      <c r="F2021" s="3"/>
      <c r="G2021" s="148"/>
      <c r="H2021" s="139"/>
      <c r="I2021" s="140"/>
      <c r="J2021" s="139"/>
    </row>
    <row r="2022" spans="5:10" x14ac:dyDescent="0.3">
      <c r="E2022" s="3"/>
      <c r="F2022" s="3"/>
      <c r="G2022" s="148"/>
      <c r="H2022" s="139"/>
      <c r="I2022" s="140"/>
      <c r="J2022" s="139"/>
    </row>
    <row r="2023" spans="5:10" x14ac:dyDescent="0.3">
      <c r="E2023" s="3"/>
      <c r="F2023" s="3"/>
      <c r="G2023" s="148"/>
      <c r="H2023" s="139"/>
      <c r="I2023" s="140"/>
      <c r="J2023" s="139"/>
    </row>
    <row r="2024" spans="5:10" x14ac:dyDescent="0.3">
      <c r="E2024" s="3"/>
      <c r="F2024" s="3"/>
      <c r="G2024" s="148"/>
      <c r="H2024" s="139"/>
      <c r="I2024" s="140"/>
      <c r="J2024" s="139"/>
    </row>
    <row r="2025" spans="5:10" x14ac:dyDescent="0.3">
      <c r="E2025" s="3"/>
      <c r="F2025" s="3"/>
      <c r="G2025" s="148"/>
      <c r="H2025" s="139"/>
      <c r="I2025" s="140"/>
      <c r="J2025" s="139"/>
    </row>
    <row r="2026" spans="5:10" x14ac:dyDescent="0.3">
      <c r="E2026" s="3"/>
      <c r="F2026" s="3"/>
      <c r="G2026" s="148"/>
      <c r="H2026" s="139"/>
      <c r="I2026" s="140"/>
      <c r="J2026" s="139"/>
    </row>
    <row r="2027" spans="5:10" x14ac:dyDescent="0.3">
      <c r="E2027" s="3"/>
      <c r="F2027" s="3"/>
      <c r="G2027" s="148"/>
      <c r="H2027" s="139"/>
      <c r="I2027" s="140"/>
      <c r="J2027" s="139"/>
    </row>
    <row r="2028" spans="5:10" x14ac:dyDescent="0.3">
      <c r="E2028" s="3"/>
      <c r="F2028" s="3"/>
      <c r="G2028" s="148"/>
      <c r="H2028" s="139"/>
      <c r="I2028" s="140"/>
      <c r="J2028" s="139"/>
    </row>
    <row r="2029" spans="5:10" x14ac:dyDescent="0.3">
      <c r="E2029" s="3"/>
      <c r="F2029" s="3"/>
      <c r="G2029" s="148"/>
      <c r="H2029" s="139"/>
      <c r="I2029" s="140"/>
      <c r="J2029" s="139"/>
    </row>
    <row r="2030" spans="5:10" x14ac:dyDescent="0.3">
      <c r="E2030" s="3"/>
      <c r="F2030" s="3"/>
      <c r="G2030" s="148"/>
      <c r="H2030" s="139"/>
      <c r="I2030" s="140"/>
      <c r="J2030" s="139"/>
    </row>
    <row r="2031" spans="5:10" x14ac:dyDescent="0.3">
      <c r="E2031" s="3"/>
      <c r="F2031" s="3"/>
      <c r="G2031" s="148"/>
      <c r="H2031" s="139"/>
      <c r="I2031" s="140"/>
      <c r="J2031" s="139"/>
    </row>
    <row r="2032" spans="5:10" x14ac:dyDescent="0.3">
      <c r="E2032" s="3"/>
      <c r="F2032" s="3"/>
      <c r="G2032" s="148"/>
      <c r="H2032" s="139"/>
      <c r="I2032" s="140"/>
      <c r="J2032" s="139"/>
    </row>
    <row r="2033" spans="5:10" x14ac:dyDescent="0.3">
      <c r="E2033" s="3"/>
      <c r="F2033" s="3"/>
      <c r="G2033" s="148"/>
      <c r="H2033" s="139"/>
      <c r="I2033" s="140"/>
      <c r="J2033" s="139"/>
    </row>
    <row r="2034" spans="5:10" x14ac:dyDescent="0.3">
      <c r="E2034" s="3"/>
      <c r="F2034" s="3"/>
      <c r="G2034" s="148"/>
      <c r="H2034" s="139"/>
      <c r="I2034" s="140"/>
      <c r="J2034" s="139"/>
    </row>
    <row r="2035" spans="5:10" x14ac:dyDescent="0.3">
      <c r="E2035" s="3"/>
      <c r="F2035" s="3"/>
      <c r="G2035" s="148"/>
      <c r="H2035" s="139"/>
      <c r="I2035" s="140"/>
      <c r="J2035" s="139"/>
    </row>
    <row r="2036" spans="5:10" x14ac:dyDescent="0.3">
      <c r="E2036" s="3"/>
      <c r="F2036" s="3"/>
      <c r="G2036" s="148"/>
      <c r="H2036" s="139"/>
      <c r="I2036" s="140"/>
      <c r="J2036" s="139"/>
    </row>
    <row r="2037" spans="5:10" x14ac:dyDescent="0.3">
      <c r="E2037" s="3"/>
      <c r="F2037" s="3"/>
      <c r="G2037" s="148"/>
      <c r="H2037" s="139"/>
      <c r="I2037" s="140"/>
      <c r="J2037" s="139"/>
    </row>
    <row r="2038" spans="5:10" x14ac:dyDescent="0.3">
      <c r="E2038" s="3"/>
      <c r="F2038" s="3"/>
      <c r="G2038" s="148"/>
      <c r="H2038" s="139"/>
      <c r="I2038" s="140"/>
      <c r="J2038" s="139"/>
    </row>
    <row r="2039" spans="5:10" x14ac:dyDescent="0.3">
      <c r="E2039" s="3"/>
      <c r="F2039" s="3"/>
      <c r="G2039" s="148"/>
      <c r="H2039" s="139"/>
      <c r="I2039" s="140"/>
      <c r="J2039" s="139"/>
    </row>
    <row r="2040" spans="5:10" x14ac:dyDescent="0.3">
      <c r="E2040" s="3"/>
      <c r="F2040" s="3"/>
      <c r="G2040" s="148"/>
      <c r="H2040" s="139"/>
      <c r="I2040" s="140"/>
      <c r="J2040" s="139"/>
    </row>
    <row r="2041" spans="5:10" x14ac:dyDescent="0.3">
      <c r="E2041" s="3"/>
      <c r="F2041" s="3"/>
      <c r="G2041" s="148"/>
      <c r="H2041" s="139"/>
      <c r="I2041" s="140"/>
      <c r="J2041" s="139"/>
    </row>
    <row r="2042" spans="5:10" x14ac:dyDescent="0.3">
      <c r="E2042" s="3"/>
      <c r="F2042" s="3"/>
      <c r="G2042" s="148"/>
      <c r="H2042" s="139"/>
      <c r="I2042" s="140"/>
      <c r="J2042" s="139"/>
    </row>
    <row r="2043" spans="5:10" x14ac:dyDescent="0.3">
      <c r="E2043" s="3"/>
      <c r="F2043" s="3"/>
      <c r="G2043" s="148"/>
      <c r="H2043" s="139"/>
      <c r="I2043" s="140"/>
      <c r="J2043" s="139"/>
    </row>
    <row r="2044" spans="5:10" x14ac:dyDescent="0.3">
      <c r="E2044" s="3"/>
      <c r="F2044" s="3"/>
      <c r="G2044" s="148"/>
      <c r="H2044" s="139"/>
      <c r="I2044" s="140"/>
      <c r="J2044" s="139"/>
    </row>
    <row r="2045" spans="5:10" x14ac:dyDescent="0.3">
      <c r="E2045" s="3"/>
      <c r="F2045" s="3"/>
      <c r="G2045" s="148"/>
      <c r="H2045" s="139"/>
      <c r="I2045" s="140"/>
      <c r="J2045" s="139"/>
    </row>
    <row r="2046" spans="5:10" x14ac:dyDescent="0.3">
      <c r="E2046" s="3"/>
      <c r="F2046" s="3"/>
      <c r="G2046" s="148"/>
      <c r="H2046" s="139"/>
      <c r="I2046" s="140"/>
      <c r="J2046" s="139"/>
    </row>
    <row r="2047" spans="5:10" x14ac:dyDescent="0.3">
      <c r="E2047" s="3"/>
      <c r="F2047" s="3"/>
      <c r="G2047" s="148"/>
      <c r="H2047" s="139"/>
      <c r="I2047" s="140"/>
      <c r="J2047" s="139"/>
    </row>
    <row r="2048" spans="5:10" x14ac:dyDescent="0.3">
      <c r="E2048" s="3"/>
      <c r="F2048" s="3"/>
      <c r="G2048" s="148"/>
      <c r="H2048" s="139"/>
      <c r="I2048" s="140"/>
      <c r="J2048" s="139"/>
    </row>
    <row r="2049" spans="5:10" x14ac:dyDescent="0.3">
      <c r="E2049" s="3"/>
      <c r="F2049" s="3"/>
      <c r="G2049" s="148"/>
      <c r="H2049" s="139"/>
      <c r="I2049" s="140"/>
      <c r="J2049" s="139"/>
    </row>
    <row r="2050" spans="5:10" x14ac:dyDescent="0.3">
      <c r="E2050" s="3"/>
      <c r="F2050" s="3"/>
      <c r="G2050" s="148"/>
      <c r="H2050" s="139"/>
      <c r="I2050" s="140"/>
      <c r="J2050" s="139"/>
    </row>
    <row r="2051" spans="5:10" x14ac:dyDescent="0.3">
      <c r="E2051" s="3"/>
      <c r="F2051" s="3"/>
      <c r="G2051" s="148"/>
      <c r="H2051" s="139"/>
      <c r="I2051" s="140"/>
      <c r="J2051" s="139"/>
    </row>
    <row r="2052" spans="5:10" x14ac:dyDescent="0.3">
      <c r="E2052" s="3"/>
      <c r="F2052" s="3"/>
      <c r="G2052" s="148"/>
      <c r="H2052" s="139"/>
      <c r="I2052" s="140"/>
      <c r="J2052" s="139"/>
    </row>
    <row r="2053" spans="5:10" x14ac:dyDescent="0.3">
      <c r="E2053" s="3"/>
      <c r="F2053" s="3"/>
      <c r="G2053" s="148"/>
      <c r="H2053" s="139"/>
      <c r="I2053" s="140"/>
      <c r="J2053" s="139"/>
    </row>
    <row r="2054" spans="5:10" x14ac:dyDescent="0.3">
      <c r="E2054" s="3"/>
      <c r="F2054" s="3"/>
      <c r="G2054" s="148"/>
      <c r="H2054" s="139"/>
      <c r="I2054" s="140"/>
      <c r="J2054" s="139"/>
    </row>
    <row r="2055" spans="5:10" x14ac:dyDescent="0.3">
      <c r="E2055" s="3"/>
      <c r="F2055" s="3"/>
      <c r="G2055" s="148"/>
      <c r="H2055" s="139"/>
      <c r="I2055" s="140"/>
      <c r="J2055" s="139"/>
    </row>
    <row r="2056" spans="5:10" x14ac:dyDescent="0.3">
      <c r="E2056" s="3"/>
      <c r="F2056" s="3"/>
      <c r="G2056" s="148"/>
      <c r="H2056" s="139"/>
      <c r="I2056" s="140"/>
      <c r="J2056" s="139"/>
    </row>
    <row r="2057" spans="5:10" x14ac:dyDescent="0.3">
      <c r="E2057" s="3"/>
      <c r="F2057" s="3"/>
      <c r="G2057" s="148"/>
      <c r="H2057" s="139"/>
      <c r="I2057" s="140"/>
      <c r="J2057" s="139"/>
    </row>
    <row r="2058" spans="5:10" x14ac:dyDescent="0.3">
      <c r="E2058" s="3"/>
      <c r="F2058" s="3"/>
      <c r="G2058" s="148"/>
      <c r="H2058" s="139"/>
      <c r="I2058" s="140"/>
      <c r="J2058" s="139"/>
    </row>
    <row r="2059" spans="5:10" x14ac:dyDescent="0.3">
      <c r="E2059" s="3"/>
      <c r="F2059" s="3"/>
      <c r="G2059" s="148"/>
      <c r="H2059" s="139"/>
      <c r="I2059" s="140"/>
      <c r="J2059" s="139"/>
    </row>
    <row r="2060" spans="5:10" x14ac:dyDescent="0.3">
      <c r="E2060" s="3"/>
      <c r="F2060" s="3"/>
      <c r="G2060" s="148"/>
      <c r="H2060" s="139"/>
      <c r="I2060" s="140"/>
      <c r="J2060" s="139"/>
    </row>
    <row r="2061" spans="5:10" x14ac:dyDescent="0.3">
      <c r="E2061" s="3"/>
      <c r="F2061" s="3"/>
      <c r="G2061" s="148"/>
      <c r="H2061" s="139"/>
      <c r="I2061" s="140"/>
      <c r="J2061" s="139"/>
    </row>
    <row r="2062" spans="5:10" x14ac:dyDescent="0.3">
      <c r="E2062" s="3"/>
      <c r="F2062" s="3"/>
      <c r="G2062" s="148"/>
      <c r="H2062" s="139"/>
      <c r="I2062" s="140"/>
      <c r="J2062" s="139"/>
    </row>
    <row r="2063" spans="5:10" x14ac:dyDescent="0.3">
      <c r="E2063" s="3"/>
      <c r="F2063" s="3"/>
      <c r="G2063" s="148"/>
      <c r="H2063" s="139"/>
      <c r="I2063" s="140"/>
      <c r="J2063" s="139"/>
    </row>
    <row r="2064" spans="5:10" x14ac:dyDescent="0.3">
      <c r="E2064" s="3"/>
      <c r="F2064" s="3"/>
      <c r="G2064" s="148"/>
      <c r="H2064" s="139"/>
      <c r="I2064" s="140"/>
      <c r="J2064" s="139"/>
    </row>
    <row r="2065" spans="5:10" x14ac:dyDescent="0.3">
      <c r="E2065" s="3"/>
      <c r="F2065" s="3"/>
      <c r="G2065" s="148"/>
      <c r="H2065" s="139"/>
      <c r="I2065" s="140"/>
      <c r="J2065" s="139"/>
    </row>
    <row r="2066" spans="5:10" x14ac:dyDescent="0.3">
      <c r="E2066" s="3"/>
      <c r="F2066" s="3"/>
      <c r="G2066" s="148"/>
      <c r="H2066" s="139"/>
      <c r="I2066" s="140"/>
      <c r="J2066" s="139"/>
    </row>
    <row r="2067" spans="5:10" x14ac:dyDescent="0.3">
      <c r="E2067" s="3"/>
      <c r="F2067" s="3"/>
      <c r="G2067" s="148"/>
      <c r="H2067" s="139"/>
      <c r="I2067" s="140"/>
      <c r="J2067" s="139"/>
    </row>
    <row r="2068" spans="5:10" x14ac:dyDescent="0.3">
      <c r="E2068" s="3"/>
      <c r="F2068" s="3"/>
      <c r="G2068" s="148"/>
      <c r="H2068" s="139"/>
      <c r="I2068" s="140"/>
      <c r="J2068" s="139"/>
    </row>
    <row r="2069" spans="5:10" x14ac:dyDescent="0.3">
      <c r="E2069" s="3"/>
      <c r="F2069" s="3"/>
      <c r="G2069" s="148"/>
      <c r="H2069" s="139"/>
      <c r="I2069" s="140"/>
      <c r="J2069" s="139"/>
    </row>
  </sheetData>
  <mergeCells count="5">
    <mergeCell ref="A1:G1"/>
    <mergeCell ref="A2:G2"/>
    <mergeCell ref="A3:G3"/>
    <mergeCell ref="A6:G6"/>
    <mergeCell ref="A4:G4"/>
  </mergeCells>
  <pageMargins left="1.1417322834645669" right="0.35433070866141736" top="0.59055118110236227" bottom="0.78740157480314965" header="0.51181102362204722" footer="0.51181102362204722"/>
  <pageSetup paperSize="9" scale="39" fitToHeight="20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3" sqref="C4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Ф-25</vt:lpstr>
      <vt:lpstr>25-город</vt:lpstr>
      <vt:lpstr>В-25</vt:lpstr>
      <vt:lpstr>Лист1</vt:lpstr>
      <vt:lpstr>'25-город'!Область_печати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Alexandr Viktorovich</cp:lastModifiedBy>
  <cp:lastPrinted>2025-12-11T09:48:03Z</cp:lastPrinted>
  <dcterms:created xsi:type="dcterms:W3CDTF">2019-10-27T17:16:26Z</dcterms:created>
  <dcterms:modified xsi:type="dcterms:W3CDTF">2025-12-26T08:39:33Z</dcterms:modified>
</cp:coreProperties>
</file>